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\Downloads\"/>
    </mc:Choice>
  </mc:AlternateContent>
  <xr:revisionPtr revIDLastSave="0" documentId="13_ncr:1_{11F4B7AB-62C7-48C7-AC3F-1112C87CE61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g.lin Données" sheetId="2" r:id="rId1"/>
    <sheet name="Reg.lin Interprétation" sheetId="3" r:id="rId2"/>
    <sheet name="Route" sheetId="1" r:id="rId3"/>
  </sheets>
  <definedNames>
    <definedName name="_xlnm.Print_Area" localSheetId="0">'Reg.lin Données'!$A$1:$G$39</definedName>
    <definedName name="_xlnm.Print_Area" localSheetId="1">'Reg.lin Interprétation'!$A$1:$F$19</definedName>
    <definedName name="_xlnm.Print_Area" localSheetId="2">Route!$A$1:$F$53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D17" i="3"/>
  <c r="C20" i="2"/>
  <c r="C21" i="2"/>
  <c r="C22" i="2"/>
  <c r="C23" i="2"/>
  <c r="C19" i="2"/>
  <c r="D33" i="2"/>
  <c r="D32" i="2"/>
  <c r="G31" i="2"/>
  <c r="G33" i="2" s="1"/>
  <c r="D31" i="2"/>
  <c r="D30" i="2"/>
  <c r="D29" i="2"/>
  <c r="D22" i="2"/>
  <c r="G21" i="2"/>
  <c r="G23" i="2" s="1"/>
  <c r="E21" i="2"/>
  <c r="D21" i="2"/>
  <c r="E20" i="2"/>
  <c r="D20" i="2"/>
  <c r="D19" i="2"/>
  <c r="E19" i="2" l="1"/>
  <c r="C29" i="2"/>
  <c r="E23" i="2"/>
  <c r="C33" i="2"/>
  <c r="D19" i="3" s="1"/>
  <c r="C18" i="3"/>
  <c r="C32" i="2"/>
  <c r="E31" i="2"/>
  <c r="C31" i="2"/>
  <c r="C30" i="2"/>
  <c r="E30" i="2" s="1"/>
  <c r="E22" i="2"/>
  <c r="E33" i="2"/>
  <c r="E29" i="2"/>
  <c r="D18" i="3"/>
  <c r="D23" i="2"/>
  <c r="B24" i="2"/>
  <c r="E18" i="3" s="1"/>
  <c r="B25" i="2"/>
  <c r="B18" i="3" s="1"/>
  <c r="G11" i="2"/>
  <c r="D10" i="1"/>
  <c r="D14" i="1" s="1"/>
  <c r="D8" i="1"/>
  <c r="C19" i="3" l="1"/>
  <c r="E32" i="2"/>
  <c r="D12" i="2"/>
  <c r="E12" i="2"/>
  <c r="D13" i="2"/>
  <c r="E13" i="2"/>
  <c r="D11" i="2"/>
  <c r="E11" i="2"/>
  <c r="B35" i="2" l="1"/>
  <c r="B19" i="3" s="1"/>
  <c r="B34" i="2"/>
  <c r="E19" i="3" s="1"/>
  <c r="D10" i="2"/>
  <c r="D9" i="2"/>
  <c r="E10" i="2"/>
  <c r="E9" i="2"/>
  <c r="D27" i="1" l="1"/>
  <c r="D46" i="1" s="1"/>
  <c r="D41" i="1" l="1"/>
  <c r="D35" i="1"/>
  <c r="D33" i="1"/>
  <c r="D39" i="1" l="1"/>
  <c r="D42" i="1" l="1"/>
  <c r="D47" i="1" s="1"/>
  <c r="D44" i="1" s="1"/>
  <c r="G13" i="2"/>
  <c r="B14" i="2"/>
  <c r="E17" i="3" s="1"/>
  <c r="B15" i="2"/>
  <c r="B17" i="3" s="1"/>
  <c r="D49" i="1" l="1"/>
  <c r="D51" i="1" s="1"/>
</calcChain>
</file>

<file path=xl/sharedStrings.xml><?xml version="1.0" encoding="utf-8"?>
<sst xmlns="http://schemas.openxmlformats.org/spreadsheetml/2006/main" count="129" uniqueCount="89">
  <si>
    <t>m/s</t>
  </si>
  <si>
    <t>kg</t>
  </si>
  <si>
    <t>°C</t>
  </si>
  <si>
    <t>W</t>
  </si>
  <si>
    <t>km/h</t>
  </si>
  <si>
    <t>ρ =</t>
  </si>
  <si>
    <t>Masse coureur</t>
  </si>
  <si>
    <t>Friction des pièces mécaniques (chaîne - pignons…) négligée (&lt;1 W)</t>
  </si>
  <si>
    <t>1) Calcul de la masse volumique moyenne en fonction de la température et de l'altitude</t>
  </si>
  <si>
    <t>kg.m3</t>
  </si>
  <si>
    <t>Pression des pneus</t>
  </si>
  <si>
    <t>Coefficient de roulement</t>
  </si>
  <si>
    <t>Puissance moyenne</t>
  </si>
  <si>
    <t>Durée intervalle</t>
  </si>
  <si>
    <t>Masse équippement</t>
  </si>
  <si>
    <t>s</t>
  </si>
  <si>
    <t>RESULTATS</t>
  </si>
  <si>
    <t>Vitesse air moyenne</t>
  </si>
  <si>
    <t>bars</t>
  </si>
  <si>
    <t>N</t>
  </si>
  <si>
    <t>Puissance totale =</t>
  </si>
  <si>
    <t>Surface frontale =</t>
  </si>
  <si>
    <t>m²</t>
  </si>
  <si>
    <t>Scx moyen=</t>
  </si>
  <si>
    <t>Cx moyen =</t>
  </si>
  <si>
    <t>Ce test peut être utilisé, non pas pour mesurer avec précision un SCX, mais plutôt pour déterminer la configuration/position la plus aéro</t>
  </si>
  <si>
    <t>Intervalle 1 : Position ""</t>
  </si>
  <si>
    <t>Position</t>
  </si>
  <si>
    <t>SCx</t>
  </si>
  <si>
    <t xml:space="preserve">Temp. (°C) </t>
  </si>
  <si>
    <t>ρ</t>
  </si>
  <si>
    <t>Coef. Roulement</t>
  </si>
  <si>
    <t>Vair (km/h)</t>
  </si>
  <si>
    <t xml:space="preserve">sur piste… </t>
  </si>
  <si>
    <t>Estimation d'un coefficient de trainée aérodynamique / Méthode de terrain</t>
  </si>
  <si>
    <t>m</t>
  </si>
  <si>
    <t xml:space="preserve"> Altitude moyenne</t>
  </si>
  <si>
    <t>Pression altitude corrigée</t>
  </si>
  <si>
    <t>Hpa</t>
  </si>
  <si>
    <t>Hygrométrie</t>
  </si>
  <si>
    <t>%</t>
  </si>
  <si>
    <t>Pression de saturation de la vapeur d'eau</t>
  </si>
  <si>
    <t>Pression atmosphérique</t>
  </si>
  <si>
    <t>Température moyenne</t>
  </si>
  <si>
    <t>Remplir les cases jaunes unniquement</t>
  </si>
  <si>
    <t>Vitesse moyenne de l'air</t>
  </si>
  <si>
    <t>Vitesse moyenne de déplacement</t>
  </si>
  <si>
    <t>Limites : Cr estimé, vent négligé, la route doit être COMPLETEMENT plate</t>
  </si>
  <si>
    <t>Hygrométrie (%)</t>
  </si>
  <si>
    <t>P. ath (Hpa)</t>
  </si>
  <si>
    <t>P. sat. Vapeur (HPA)</t>
  </si>
  <si>
    <r>
      <rPr>
        <b/>
        <sz val="10"/>
        <color theme="1"/>
        <rFont val="Calibri"/>
        <family val="2"/>
        <scheme val="minor"/>
      </rPr>
      <t xml:space="preserve">Matériel nécéssaire : </t>
    </r>
    <r>
      <rPr>
        <sz val="10"/>
        <color theme="1"/>
        <rFont val="Calibri"/>
        <family val="2"/>
        <scheme val="minor"/>
      </rPr>
      <t>Capteur de puissance / Balance / Capteur de température / Pompe (manomètre) / anémomètre si possible (ou espace clos)
Toujours dans les mêmes conditions ! : direction + force du vent, route (revêttement lisse) complètement plate, cachée du vent
un essai par position à une vitesse définie, on observe la puissance développée par position ==&gt; Détermination SCX
L'idéal : sur piste couverte !</t>
    </r>
  </si>
  <si>
    <r>
      <t xml:space="preserve">Puissance </t>
    </r>
    <r>
      <rPr>
        <b/>
        <i/>
        <sz val="10"/>
        <color rgb="FF00E668"/>
        <rFont val="Calibri"/>
        <family val="2"/>
        <scheme val="minor"/>
      </rPr>
      <t xml:space="preserve">R.air </t>
    </r>
    <r>
      <rPr>
        <b/>
        <sz val="10"/>
        <color rgb="FF00E668"/>
        <rFont val="Calibri"/>
        <family val="2"/>
        <scheme val="minor"/>
      </rPr>
      <t>=</t>
    </r>
  </si>
  <si>
    <r>
      <t xml:space="preserve">Puissance </t>
    </r>
    <r>
      <rPr>
        <b/>
        <i/>
        <sz val="10"/>
        <color theme="3"/>
        <rFont val="Calibri"/>
        <family val="2"/>
        <scheme val="minor"/>
      </rPr>
      <t>pot</t>
    </r>
    <r>
      <rPr>
        <b/>
        <sz val="10"/>
        <color theme="3"/>
        <rFont val="Calibri"/>
        <family val="2"/>
        <scheme val="minor"/>
      </rPr>
      <t xml:space="preserve"> (gravité) =</t>
    </r>
  </si>
  <si>
    <r>
      <t xml:space="preserve">Puissance </t>
    </r>
    <r>
      <rPr>
        <b/>
        <i/>
        <sz val="10"/>
        <color rgb="FFFF0000"/>
        <rFont val="Calibri"/>
        <family val="2"/>
        <scheme val="minor"/>
      </rPr>
      <t>R. roulement</t>
    </r>
    <r>
      <rPr>
        <b/>
        <sz val="10"/>
        <color rgb="FFFF0000"/>
        <rFont val="Calibri"/>
        <family val="2"/>
        <scheme val="minor"/>
      </rPr>
      <t xml:space="preserve"> =</t>
    </r>
  </si>
  <si>
    <t>Coureur + Vélo masse (kg)</t>
  </si>
  <si>
    <t>Athlète</t>
  </si>
  <si>
    <t>Commentaires</t>
  </si>
  <si>
    <t>Bilan</t>
  </si>
  <si>
    <t>Référence</t>
  </si>
  <si>
    <t>1#28</t>
  </si>
  <si>
    <t>1#33</t>
  </si>
  <si>
    <t>1#37</t>
  </si>
  <si>
    <t>1#42</t>
  </si>
  <si>
    <t>1#47</t>
  </si>
  <si>
    <t>2#28</t>
  </si>
  <si>
    <t>2#33</t>
  </si>
  <si>
    <t>2#37</t>
  </si>
  <si>
    <t>2#42</t>
  </si>
  <si>
    <t>2#47</t>
  </si>
  <si>
    <t>3#28</t>
  </si>
  <si>
    <t>3#33</t>
  </si>
  <si>
    <t>3#37</t>
  </si>
  <si>
    <t>3#42</t>
  </si>
  <si>
    <t>3#47</t>
  </si>
  <si>
    <t>1#</t>
  </si>
  <si>
    <t>2#</t>
  </si>
  <si>
    <t>3#</t>
  </si>
  <si>
    <t>Scx</t>
  </si>
  <si>
    <t>Pow. @42kmh</t>
  </si>
  <si>
    <t>Pow. @47kmh</t>
  </si>
  <si>
    <t>Cr</t>
  </si>
  <si>
    <t>V (km/h)</t>
  </si>
  <si>
    <t>P (W)</t>
  </si>
  <si>
    <t>V² (m/s)</t>
  </si>
  <si>
    <t>Rtot. (N)</t>
  </si>
  <si>
    <t>Cadre 1</t>
  </si>
  <si>
    <t>Cadre 2</t>
  </si>
  <si>
    <t>Cadre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</si>
</sst>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rgb="FF00E668"/>
      <name val="Calibri"/>
      <family val="2"/>
      <scheme val="minor"/>
    </font>
    <font>
      <b/>
      <i/>
      <sz val="10"/>
      <color rgb="FF00E66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5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4" borderId="0" xfId="0" applyFont="1" applyFill="1" applyAlignment="1">
      <alignment horizontal="center" vertical="center"/>
    </xf>
    <xf numFmtId="0" fontId="3" fillId="0" borderId="23" xfId="0" applyFont="1" applyBorder="1"/>
    <xf numFmtId="0" fontId="6" fillId="0" borderId="23" xfId="1" applyFont="1" applyBorder="1" applyAlignment="1"/>
    <xf numFmtId="0" fontId="6" fillId="0" borderId="0" xfId="1" applyFont="1" applyAlignment="1"/>
    <xf numFmtId="0" fontId="3" fillId="0" borderId="0" xfId="0" applyFont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9" fillId="0" borderId="5" xfId="0" applyFont="1" applyBorder="1"/>
    <xf numFmtId="0" fontId="8" fillId="4" borderId="0" xfId="0" applyFont="1" applyFill="1" applyAlignment="1">
      <alignment horizontal="left" vertical="center"/>
    </xf>
    <xf numFmtId="0" fontId="3" fillId="4" borderId="26" xfId="0" applyFont="1" applyFill="1" applyBorder="1" applyAlignment="1">
      <alignment horizontal="center"/>
    </xf>
    <xf numFmtId="1" fontId="5" fillId="4" borderId="26" xfId="0" applyNumberFormat="1" applyFont="1" applyFill="1" applyBorder="1" applyAlignment="1">
      <alignment horizontal="center"/>
    </xf>
    <xf numFmtId="9" fontId="5" fillId="7" borderId="26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0" fontId="3" fillId="11" borderId="26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7" borderId="11" xfId="0" applyFont="1" applyFill="1" applyBorder="1" applyAlignment="1">
      <alignment horizontal="center" vertical="center"/>
    </xf>
    <xf numFmtId="1" fontId="5" fillId="7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3" fillId="0" borderId="5" xfId="0" applyFont="1" applyBorder="1"/>
    <xf numFmtId="0" fontId="3" fillId="0" borderId="6" xfId="0" applyFont="1" applyBorder="1"/>
    <xf numFmtId="0" fontId="11" fillId="0" borderId="5" xfId="0" applyFont="1" applyBorder="1" applyAlignment="1">
      <alignment horizontal="right" vertical="center"/>
    </xf>
    <xf numFmtId="165" fontId="3" fillId="6" borderId="0" xfId="0" applyNumberFormat="1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6" fillId="4" borderId="5" xfId="0" applyFont="1" applyFill="1" applyBorder="1" applyAlignment="1">
      <alignment horizontal="right" vertical="center"/>
    </xf>
    <xf numFmtId="165" fontId="3" fillId="4" borderId="0" xfId="0" applyNumberFormat="1" applyFont="1" applyFill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2" fontId="3" fillId="6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166" fontId="5" fillId="2" borderId="0" xfId="0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166" fontId="5" fillId="2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/>
    </xf>
    <xf numFmtId="0" fontId="5" fillId="0" borderId="24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164" fontId="5" fillId="10" borderId="0" xfId="0" applyNumberFormat="1" applyFont="1" applyFill="1" applyAlignment="1">
      <alignment horizontal="center" vertical="center"/>
    </xf>
    <xf numFmtId="166" fontId="5" fillId="10" borderId="0" xfId="0" applyNumberFormat="1" applyFont="1" applyFill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27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justify" vertical="top" wrapText="1"/>
    </xf>
    <xf numFmtId="0" fontId="3" fillId="0" borderId="28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7" fillId="5" borderId="0" xfId="0" applyFont="1" applyFill="1" applyAlignment="1">
      <alignment horizontal="left" vertical="center"/>
    </xf>
    <xf numFmtId="0" fontId="3" fillId="0" borderId="27" xfId="0" applyFont="1" applyBorder="1" applyAlignment="1">
      <alignment horizontal="justify" vertical="top"/>
    </xf>
    <xf numFmtId="0" fontId="3" fillId="0" borderId="25" xfId="0" applyFont="1" applyBorder="1" applyAlignment="1">
      <alignment horizontal="justify" vertical="top"/>
    </xf>
    <xf numFmtId="0" fontId="3" fillId="0" borderId="28" xfId="0" applyFont="1" applyBorder="1" applyAlignment="1">
      <alignment horizontal="justify" vertical="top"/>
    </xf>
    <xf numFmtId="0" fontId="3" fillId="0" borderId="15" xfId="0" applyFont="1" applyBorder="1" applyAlignment="1">
      <alignment horizontal="justify" vertical="top"/>
    </xf>
    <xf numFmtId="0" fontId="3" fillId="0" borderId="16" xfId="0" applyFont="1" applyBorder="1" applyAlignment="1">
      <alignment horizontal="justify" vertical="top"/>
    </xf>
    <xf numFmtId="0" fontId="3" fillId="0" borderId="17" xfId="0" applyFont="1" applyBorder="1" applyAlignment="1">
      <alignment horizontal="justify" vertical="top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justify" vertical="top" wrapText="1"/>
    </xf>
    <xf numFmtId="0" fontId="3" fillId="0" borderId="23" xfId="0" applyFont="1" applyBorder="1" applyAlignment="1">
      <alignment horizontal="justify" vertical="top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3" fillId="0" borderId="0" xfId="0" applyFont="1" applyAlignment="1">
      <alignment horizontal="justify" vertical="top" wrapText="1"/>
    </xf>
    <xf numFmtId="0" fontId="3" fillId="0" borderId="25" xfId="0" applyFont="1" applyBorder="1" applyAlignment="1">
      <alignment horizontal="justify"/>
    </xf>
    <xf numFmtId="0" fontId="5" fillId="9" borderId="20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8" borderId="14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45"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0.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E668"/>
      <color rgb="FFFFFF66"/>
      <color rgb="FFFFFF53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'Reg.lin Données'!$A$7:$G$7</c:f>
              <c:strCache>
                <c:ptCount val="1"/>
                <c:pt idx="0">
                  <c:v>Cadre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trendline>
            <c:spPr>
              <a:ln w="6350" cap="rnd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forward val="300"/>
            <c:backward val="300"/>
            <c:dispRSqr val="0"/>
            <c:dispEq val="0"/>
          </c:trendline>
          <c:xVal>
            <c:numRef>
              <c:f>'Reg.lin Données'!$D$9:$D$13</c:f>
              <c:numCache>
                <c:formatCode>0</c:formatCode>
                <c:ptCount val="5"/>
                <c:pt idx="0">
                  <c:v>60.493827160493822</c:v>
                </c:pt>
                <c:pt idx="1">
                  <c:v>84.027777777777771</c:v>
                </c:pt>
                <c:pt idx="2">
                  <c:v>105.63271604938269</c:v>
                </c:pt>
                <c:pt idx="3">
                  <c:v>136.11111111111109</c:v>
                </c:pt>
                <c:pt idx="4">
                  <c:v>170.44753086419752</c:v>
                </c:pt>
              </c:numCache>
            </c:numRef>
          </c:xVal>
          <c:yVal>
            <c:numRef>
              <c:f>'Reg.lin Données'!$E$9:$E$13</c:f>
              <c:numCache>
                <c:formatCode>0.00</c:formatCode>
                <c:ptCount val="5"/>
                <c:pt idx="0">
                  <c:v>12.857142857142858</c:v>
                </c:pt>
                <c:pt idx="1">
                  <c:v>16.363636363636363</c:v>
                </c:pt>
                <c:pt idx="2">
                  <c:v>19.45945945945946</c:v>
                </c:pt>
                <c:pt idx="3">
                  <c:v>23.142857142857142</c:v>
                </c:pt>
                <c:pt idx="4">
                  <c:v>28.340425531914892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46-4242-8ADE-5ABB46A2D74E}"/>
            </c:ext>
          </c:extLst>
        </c:ser>
        <c:ser>
          <c:idx val="1"/>
          <c:order val="1"/>
          <c:tx>
            <c:strRef>
              <c:f>'Reg.lin Données'!$A$17:$G$17</c:f>
              <c:strCache>
                <c:ptCount val="1"/>
                <c:pt idx="0">
                  <c:v>Cadre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E668"/>
              </a:solidFill>
              <a:ln w="9525">
                <a:solidFill>
                  <a:srgbClr val="00E668"/>
                </a:solidFill>
              </a:ln>
              <a:effectLst/>
            </c:spPr>
          </c:marker>
          <c:trendline>
            <c:spPr>
              <a:ln w="6350" cap="rnd">
                <a:solidFill>
                  <a:srgbClr val="00E668"/>
                </a:solidFill>
                <a:prstDash val="sysDash"/>
              </a:ln>
              <a:effectLst/>
            </c:spPr>
            <c:trendlineType val="linear"/>
            <c:forward val="300"/>
            <c:backward val="300"/>
            <c:dispRSqr val="0"/>
            <c:dispEq val="0"/>
          </c:trendline>
          <c:xVal>
            <c:numRef>
              <c:f>'Reg.lin Données'!$D$19:$D$23</c:f>
              <c:numCache>
                <c:formatCode>0</c:formatCode>
                <c:ptCount val="5"/>
                <c:pt idx="0">
                  <c:v>60.493827160493822</c:v>
                </c:pt>
                <c:pt idx="1">
                  <c:v>84.027777777777771</c:v>
                </c:pt>
                <c:pt idx="2">
                  <c:v>105.63271604938269</c:v>
                </c:pt>
                <c:pt idx="3">
                  <c:v>136.11111111111109</c:v>
                </c:pt>
                <c:pt idx="4">
                  <c:v>170.44753086419752</c:v>
                </c:pt>
              </c:numCache>
            </c:numRef>
          </c:xVal>
          <c:yVal>
            <c:numRef>
              <c:f>'Reg.lin Données'!$E$19:$E$23</c:f>
              <c:numCache>
                <c:formatCode>0.00</c:formatCode>
                <c:ptCount val="5"/>
                <c:pt idx="0">
                  <c:v>12.214285714285715</c:v>
                </c:pt>
                <c:pt idx="1">
                  <c:v>15.545454545454547</c:v>
                </c:pt>
                <c:pt idx="2">
                  <c:v>18.486486486486488</c:v>
                </c:pt>
                <c:pt idx="3">
                  <c:v>21.985714285714288</c:v>
                </c:pt>
                <c:pt idx="4">
                  <c:v>26.923404255319149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46-4242-8ADE-5ABB46A2D74E}"/>
            </c:ext>
          </c:extLst>
        </c:ser>
        <c:ser>
          <c:idx val="2"/>
          <c:order val="2"/>
          <c:tx>
            <c:strRef>
              <c:f>'Reg.lin Données'!$A$27:$G$27</c:f>
              <c:strCache>
                <c:ptCount val="1"/>
                <c:pt idx="0">
                  <c:v>Cadre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6350" cap="rnd">
                <a:solidFill>
                  <a:srgbClr val="00B0F0"/>
                </a:solidFill>
                <a:prstDash val="sysDash"/>
              </a:ln>
              <a:effectLst/>
            </c:spPr>
            <c:trendlineType val="linear"/>
            <c:forward val="300"/>
            <c:backward val="300"/>
            <c:dispRSqr val="0"/>
            <c:dispEq val="0"/>
          </c:trendline>
          <c:xVal>
            <c:numRef>
              <c:f>'Reg.lin Données'!$D$29:$D$33</c:f>
              <c:numCache>
                <c:formatCode>0</c:formatCode>
                <c:ptCount val="5"/>
                <c:pt idx="0">
                  <c:v>60.493827160493822</c:v>
                </c:pt>
                <c:pt idx="1">
                  <c:v>84.027777777777771</c:v>
                </c:pt>
                <c:pt idx="2">
                  <c:v>105.63271604938269</c:v>
                </c:pt>
                <c:pt idx="3">
                  <c:v>136.11111111111109</c:v>
                </c:pt>
                <c:pt idx="4">
                  <c:v>170.44753086419752</c:v>
                </c:pt>
              </c:numCache>
            </c:numRef>
          </c:xVal>
          <c:yVal>
            <c:numRef>
              <c:f>'Reg.lin Données'!$E$29:$E$33</c:f>
              <c:numCache>
                <c:formatCode>0.00</c:formatCode>
                <c:ptCount val="5"/>
                <c:pt idx="0">
                  <c:v>10.382142857142858</c:v>
                </c:pt>
                <c:pt idx="1">
                  <c:v>13.213636363636365</c:v>
                </c:pt>
                <c:pt idx="2">
                  <c:v>15.713513513513515</c:v>
                </c:pt>
                <c:pt idx="3">
                  <c:v>18.687857142857144</c:v>
                </c:pt>
                <c:pt idx="4">
                  <c:v>22.884893617021277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46-4242-8ADE-5ABB46A2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581519"/>
        <c:axId val="1839583599"/>
      </c:scatterChart>
      <c:valAx>
        <c:axId val="1839581519"/>
        <c:scaling>
          <c:orientation val="minMax"/>
          <c:max val="2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V²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9583599"/>
        <c:crosses val="autoZero"/>
        <c:crossBetween val="midCat"/>
      </c:valAx>
      <c:valAx>
        <c:axId val="1839583599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Rt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9581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'Reg.lin Données'!$A$7:$G$7</c:f>
              <c:strCache>
                <c:ptCount val="1"/>
                <c:pt idx="0">
                  <c:v>Cadre 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trendline>
            <c:spPr>
              <a:ln w="6350" cap="rnd">
                <a:solidFill>
                  <a:srgbClr val="C00000"/>
                </a:solidFill>
                <a:prstDash val="sysDash"/>
              </a:ln>
              <a:effectLst/>
            </c:spPr>
            <c:trendlineType val="exp"/>
            <c:forward val="300"/>
            <c:backward val="300"/>
            <c:dispRSqr val="0"/>
            <c:dispEq val="0"/>
          </c:trendline>
          <c:xVal>
            <c:numRef>
              <c:f>'Reg.lin Données'!$B$9:$B$13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42</c:v>
                </c:pt>
                <c:pt idx="4">
                  <c:v>47</c:v>
                </c:pt>
              </c:numCache>
            </c:numRef>
          </c:xVal>
          <c:yVal>
            <c:numRef>
              <c:f>'Reg.lin Données'!$C$9:$C$13</c:f>
              <c:numCache>
                <c:formatCode>General</c:formatCode>
                <c:ptCount val="5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270</c:v>
                </c:pt>
                <c:pt idx="4">
                  <c:v>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89-445F-BB7F-AB728DEFA1F1}"/>
            </c:ext>
          </c:extLst>
        </c:ser>
        <c:ser>
          <c:idx val="1"/>
          <c:order val="1"/>
          <c:tx>
            <c:strRef>
              <c:f>'Reg.lin Données'!$A$17:$G$17</c:f>
              <c:strCache>
                <c:ptCount val="1"/>
                <c:pt idx="0">
                  <c:v>Cadre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E668"/>
              </a:solidFill>
              <a:ln w="9525">
                <a:solidFill>
                  <a:srgbClr val="00E668"/>
                </a:solidFill>
              </a:ln>
              <a:effectLst/>
            </c:spPr>
          </c:marker>
          <c:trendline>
            <c:spPr>
              <a:ln w="6350" cap="rnd">
                <a:solidFill>
                  <a:srgbClr val="00E668"/>
                </a:solidFill>
                <a:prstDash val="sysDash"/>
              </a:ln>
              <a:effectLst/>
            </c:spPr>
            <c:trendlineType val="exp"/>
            <c:forward val="300"/>
            <c:backward val="300"/>
            <c:dispRSqr val="0"/>
            <c:dispEq val="0"/>
          </c:trendline>
          <c:xVal>
            <c:numRef>
              <c:f>'Reg.lin Données'!$B$19:$B$23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42</c:v>
                </c:pt>
                <c:pt idx="4">
                  <c:v>47</c:v>
                </c:pt>
              </c:numCache>
            </c:numRef>
          </c:xVal>
          <c:yVal>
            <c:numRef>
              <c:f>'Reg.lin Données'!$C$19:$C$23</c:f>
              <c:numCache>
                <c:formatCode>General</c:formatCode>
                <c:ptCount val="5"/>
                <c:pt idx="0">
                  <c:v>95</c:v>
                </c:pt>
                <c:pt idx="1">
                  <c:v>142.5</c:v>
                </c:pt>
                <c:pt idx="2">
                  <c:v>190</c:v>
                </c:pt>
                <c:pt idx="3">
                  <c:v>256.5</c:v>
                </c:pt>
                <c:pt idx="4">
                  <c:v>351.5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89-445F-BB7F-AB728DEFA1F1}"/>
            </c:ext>
          </c:extLst>
        </c:ser>
        <c:ser>
          <c:idx val="2"/>
          <c:order val="2"/>
          <c:tx>
            <c:strRef>
              <c:f>'Reg.lin Données'!$A$27:$G$27</c:f>
              <c:strCache>
                <c:ptCount val="1"/>
                <c:pt idx="0">
                  <c:v>Cadre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6350" cap="rnd">
                <a:solidFill>
                  <a:srgbClr val="00B0F0"/>
                </a:solidFill>
                <a:prstDash val="sysDash"/>
              </a:ln>
              <a:effectLst/>
            </c:spPr>
            <c:trendlineType val="exp"/>
            <c:forward val="300"/>
            <c:backward val="300"/>
            <c:dispRSqr val="0"/>
            <c:dispEq val="0"/>
          </c:trendline>
          <c:xVal>
            <c:numRef>
              <c:f>'Reg.lin Données'!$B$29:$B$33</c:f>
              <c:numCache>
                <c:formatCode>General</c:formatCode>
                <c:ptCount val="5"/>
                <c:pt idx="0">
                  <c:v>28</c:v>
                </c:pt>
                <c:pt idx="1">
                  <c:v>33</c:v>
                </c:pt>
                <c:pt idx="2">
                  <c:v>37</c:v>
                </c:pt>
                <c:pt idx="3">
                  <c:v>42</c:v>
                </c:pt>
                <c:pt idx="4">
                  <c:v>47</c:v>
                </c:pt>
              </c:numCache>
            </c:numRef>
          </c:xVal>
          <c:yVal>
            <c:numRef>
              <c:f>'Reg.lin Données'!$C$29:$C$33</c:f>
              <c:numCache>
                <c:formatCode>General</c:formatCode>
                <c:ptCount val="5"/>
                <c:pt idx="0">
                  <c:v>80.75</c:v>
                </c:pt>
                <c:pt idx="1">
                  <c:v>121.125</c:v>
                </c:pt>
                <c:pt idx="2">
                  <c:v>161.5</c:v>
                </c:pt>
                <c:pt idx="3">
                  <c:v>218.02500000000001</c:v>
                </c:pt>
                <c:pt idx="4">
                  <c:v>298.77499999999998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89-445F-BB7F-AB728DEFA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581519"/>
        <c:axId val="1839583599"/>
      </c:scatterChart>
      <c:valAx>
        <c:axId val="1839581519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Vair (km/h)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9583599"/>
        <c:crosses val="autoZero"/>
        <c:crossBetween val="midCat"/>
      </c:valAx>
      <c:valAx>
        <c:axId val="1839583599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Puissance (W)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95815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57150</xdr:rowOff>
    </xdr:from>
    <xdr:to>
      <xdr:col>5</xdr:col>
      <xdr:colOff>882650</xdr:colOff>
      <xdr:row>13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C3DAD51-F2CA-4CC0-A1B5-6AC579980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1371600</xdr:colOff>
      <xdr:row>0</xdr:row>
      <xdr:rowOff>69850</xdr:rowOff>
    </xdr:from>
    <xdr:to>
      <xdr:col>5</xdr:col>
      <xdr:colOff>6070600</xdr:colOff>
      <xdr:row>13</xdr:row>
      <xdr:rowOff>165100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E26F87A-8EEA-47A7-8631-7BEBC5AA1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295274</xdr:colOff>
      <xdr:row>3</xdr:row>
      <xdr:rowOff>357187</xdr:rowOff>
    </xdr:from>
    <xdr:ext cx="2514601" cy="3667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819274" y="1014412"/>
              <a:ext cx="2514601" cy="3667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100" b="1" i="1">
                        <a:latin typeface="Cambria Math"/>
                        <a:ea typeface="Cambria Math"/>
                      </a:rPr>
                      <m:t>𝝆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=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𝟏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.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𝟐𝟗𝟐</m:t>
                    </m:r>
                    <m:r>
                      <a:rPr lang="fr-FR" sz="1100" b="1" i="1">
                        <a:latin typeface="Cambria Math"/>
                        <a:ea typeface="Cambria Math"/>
                      </a:rPr>
                      <m:t>×(</m:t>
                    </m:r>
                    <m:f>
                      <m:fPr>
                        <m:type m:val="skw"/>
                        <m:ctrlPr>
                          <a:rPr lang="fr-FR" sz="11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𝑷𝒃</m:t>
                        </m:r>
                      </m:num>
                      <m:den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𝟕𝟔𝟎</m:t>
                        </m:r>
                      </m:den>
                    </m:f>
                    <m:r>
                      <a:rPr lang="fr-FR" sz="1100" b="1" i="1">
                        <a:latin typeface="Cambria Math"/>
                        <a:ea typeface="Cambria Math"/>
                      </a:rPr>
                      <m:t>)×(</m:t>
                    </m:r>
                    <m:f>
                      <m:fPr>
                        <m:type m:val="skw"/>
                        <m:ctrlPr>
                          <a:rPr lang="fr-FR" sz="11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𝟐𝟕𝟑</m:t>
                        </m:r>
                      </m:num>
                      <m:den>
                        <m:r>
                          <a:rPr lang="fr-FR" sz="1100" b="1" i="1">
                            <a:latin typeface="Cambria Math"/>
                            <a:ea typeface="Cambria Math"/>
                          </a:rPr>
                          <m:t>𝑻𝒌</m:t>
                        </m:r>
                      </m:den>
                    </m:f>
                    <m:r>
                      <a:rPr lang="fr-FR" sz="1100" b="1" i="1">
                        <a:latin typeface="Cambria Math"/>
                        <a:ea typeface="Cambria Math"/>
                      </a:rPr>
                      <m:t>)</m:t>
                    </m:r>
                  </m:oMath>
                </m:oMathPara>
              </a14:m>
              <a:endParaRPr lang="fr-FR" sz="1100" b="1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1819274" y="1014412"/>
              <a:ext cx="2514601" cy="3667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fr-FR" sz="1100" b="1" i="0">
                  <a:latin typeface="Cambria Math"/>
                  <a:ea typeface="Cambria Math"/>
                </a:rPr>
                <a:t>𝝆=𝟏.𝟐𝟗𝟐×(𝑷𝒃⁄𝟕𝟔𝟎)×(𝟐𝟕𝟑⁄𝑻𝒌)</a:t>
              </a:r>
              <a:endParaRPr lang="fr-FR" sz="1100" b="1"/>
            </a:p>
          </xdr:txBody>
        </xdr:sp>
      </mc:Fallback>
    </mc:AlternateContent>
    <xdr:clientData/>
  </xdr:oneCellAnchor>
  <xdr:oneCellAnchor>
    <xdr:from>
      <xdr:col>1</xdr:col>
      <xdr:colOff>558248</xdr:colOff>
      <xdr:row>15</xdr:row>
      <xdr:rowOff>47004</xdr:rowOff>
    </xdr:from>
    <xdr:ext cx="5897080" cy="14335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345096" y="4254569"/>
              <a:ext cx="5897080" cy="1433513"/>
            </a:xfrm>
            <a:prstGeom prst="rect">
              <a:avLst/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𝑷𝒎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é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𝒄𝒂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𝒕𝒐𝒕𝒂𝒍𝒆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𝑾</m:t>
                      </m:r>
                    </m:e>
                  </m:d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d>
                    <m:d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acc>
                        <m:accPr>
                          <m:chr m:val="⃗"/>
                          <m:ctrlPr>
                            <a:rPr lang="fr-FR" sz="11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fr-FR" sz="1100" b="1" i="1">
                              <a:solidFill>
                                <a:srgbClr val="00B05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𝑹𝒓𝒐𝒖𝒍𝒆𝒎𝒆𝒏𝒕</m:t>
                          </m:r>
                        </m:e>
                      </m:acc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acc>
                        <m:accPr>
                          <m:chr m:val="⃗"/>
                          <m:ctrlPr>
                            <a:rPr lang="fr-FR" sz="11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fr-FR" sz="1100" b="1" i="1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𝑹𝒂𝒊𝒓</m:t>
                          </m:r>
                        </m:e>
                      </m:acc>
                    </m:e>
                  </m:d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𝑽𝒅</m:t>
                  </m:r>
                </m:oMath>
              </a14:m>
              <a:r>
                <a:rPr lang="fr-FR" sz="1100" b="1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(pas de</a:t>
              </a:r>
              <a:r>
                <a:rPr lang="fr-FR" sz="1100" b="1" i="1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changement de position verticale)</a:t>
              </a:r>
              <a:br>
                <a:rPr lang="fr-FR" sz="1100" b="1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</a:b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200" b="1" i="1">
                        <a:latin typeface="Cambria Math"/>
                      </a:rPr>
                      <m:t>𝑷𝒎</m:t>
                    </m:r>
                    <m:r>
                      <a:rPr lang="fr-FR" sz="1200" b="1" i="1">
                        <a:latin typeface="Cambria Math"/>
                      </a:rPr>
                      <m:t>é</m:t>
                    </m:r>
                    <m:r>
                      <a:rPr lang="fr-FR" sz="1200" b="1" i="1">
                        <a:latin typeface="Cambria Math"/>
                      </a:rPr>
                      <m:t>𝒄𝒂</m:t>
                    </m:r>
                    <m:r>
                      <a:rPr lang="fr-FR" sz="12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fr-FR" sz="1200" b="1" i="1">
                        <a:latin typeface="Cambria Math" panose="02040503050406030204" pitchFamily="18" charset="0"/>
                      </a:rPr>
                      <m:t>𝒕𝒐𝒕𝒂𝒍𝒆</m:t>
                    </m:r>
                    <m:r>
                      <a:rPr lang="fr-FR" sz="1200" b="1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ctrlPr>
                          <a:rPr lang="fr-FR" sz="12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fr-FR" sz="1200" b="1" i="1">
                            <a:latin typeface="Cambria Math" panose="02040503050406030204" pitchFamily="18" charset="0"/>
                          </a:rPr>
                          <m:t>𝑾</m:t>
                        </m:r>
                      </m:e>
                    </m:d>
                    <m:r>
                      <a:rPr lang="fr-FR" sz="12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2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200" b="1" i="1">
                            <a:solidFill>
                              <a:srgbClr val="00B050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𝝆</m:t>
                        </m:r>
                      </m:num>
                      <m:den>
                        <m:r>
                          <a:rPr lang="fr-FR" sz="1200" b="1" i="1">
                            <a:solidFill>
                              <a:srgbClr val="00B050"/>
                            </a:solidFill>
                            <a:latin typeface="Cambria Math"/>
                          </a:rPr>
                          <m:t>𝟐</m:t>
                        </m:r>
                      </m:den>
                    </m:f>
                    <m:r>
                      <a:rPr lang="fr-FR" sz="1200" b="1" i="1">
                        <a:solidFill>
                          <a:srgbClr val="00B050"/>
                        </a:solidFill>
                        <a:latin typeface="Cambria Math"/>
                        <a:ea typeface="Cambria Math"/>
                      </a:rPr>
                      <m:t>×</m:t>
                    </m:r>
                    <m:r>
                      <a:rPr lang="fr-FR" sz="1200" b="1" i="1">
                        <a:solidFill>
                          <a:srgbClr val="00B050"/>
                        </a:solidFill>
                        <a:latin typeface="Cambria Math"/>
                        <a:ea typeface="Cambria Math"/>
                      </a:rPr>
                      <m:t>𝑺𝑪𝒙</m:t>
                    </m:r>
                    <m:r>
                      <a:rPr lang="fr-FR" sz="12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fr-FR" sz="12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fr-FR" sz="12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𝑽𝒂𝒊𝒓</m:t>
                        </m:r>
                      </m:e>
                      <m:sup>
                        <m:r>
                          <a:rPr lang="fr-FR" sz="12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²</m:t>
                        </m:r>
                      </m:sup>
                    </m:sSup>
                    <m:r>
                      <a:rPr lang="fr-FR" sz="12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fr-FR" sz="1200" b="1" i="1">
                        <a:solidFill>
                          <a:srgbClr val="00B05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𝑽𝒅</m:t>
                    </m:r>
                    <m:r>
                      <a:rPr lang="fr-FR" sz="1200" b="1" i="1">
                        <a:latin typeface="Cambria Math"/>
                        <a:ea typeface="Cambria Math"/>
                      </a:rPr>
                      <m:t>+</m:t>
                    </m:r>
                    <m:r>
                      <a:rPr lang="fr-FR" sz="1200" b="1" i="1">
                        <a:solidFill>
                          <a:srgbClr val="FF0000"/>
                        </a:solidFill>
                        <a:latin typeface="Cambria Math"/>
                        <a:ea typeface="Cambria Math"/>
                      </a:rPr>
                      <m:t>𝑪𝒓</m:t>
                    </m:r>
                    <m:r>
                      <a:rPr lang="fr-FR" sz="1200" b="1" i="1">
                        <a:solidFill>
                          <a:srgbClr val="FF0000"/>
                        </a:solidFill>
                        <a:latin typeface="Cambria Math"/>
                        <a:ea typeface="Cambria Math"/>
                      </a:rPr>
                      <m:t>×</m:t>
                    </m:r>
                    <m:r>
                      <a:rPr lang="fr-FR" sz="1200" b="1" i="1">
                        <a:solidFill>
                          <a:srgbClr val="FF0000"/>
                        </a:solidFill>
                        <a:latin typeface="Cambria Math"/>
                        <a:ea typeface="Cambria Math"/>
                      </a:rPr>
                      <m:t>𝑴𝒈</m:t>
                    </m:r>
                    <m:r>
                      <a:rPr lang="fr-FR" sz="12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fr-FR" sz="12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𝑽𝒅</m:t>
                    </m:r>
                  </m:oMath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𝑹𝒕𝒐𝒕𝒂𝒍𝒆</m:t>
                        </m:r>
                      </m:e>
                    </m:acc>
                    <m:d>
                      <m:dPr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𝑵</m:t>
                        </m:r>
                      </m:e>
                    </m:d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𝝆</m:t>
                        </m:r>
                      </m:num>
                      <m:den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𝑺𝒄𝒙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𝑽𝒂𝒊𝒓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²+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𝑪𝒓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𝑴𝒈</m:t>
                    </m:r>
                  </m:oMath>
                </m:oMathPara>
              </a14:m>
              <a:endParaRPr lang="fr-FR" b="1" i="1">
                <a:effectLst/>
              </a:endParaRP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𝑹𝒂𝒊𝒓</m:t>
                        </m:r>
                      </m:e>
                    </m:acc>
                    <m:d>
                      <m:dPr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𝑵</m:t>
                        </m:r>
                      </m:e>
                    </m:d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𝝆</m:t>
                        </m:r>
                      </m:num>
                      <m:den>
                        <m:r>
                          <a:rPr lang="fr-FR" sz="1100" b="1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𝑺𝒄𝒙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𝑽𝒂𝒊𝒓</m:t>
                    </m:r>
                    <m:r>
                      <a:rPr lang="fr-FR" sz="1100" b="1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²</m:t>
                    </m:r>
                  </m:oMath>
                </m:oMathPara>
              </a14:m>
              <a:endParaRPr lang="fr-FR" b="1" i="1">
                <a:effectLst/>
              </a:endParaRP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𝑷𝒂𝒊𝒓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𝑾</m:t>
                      </m:r>
                    </m:e>
                  </m:d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⃗"/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𝑭𝒂𝒊𝒓</m:t>
                      </m:r>
                    </m:e>
                  </m:acc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𝑽</m:t>
                  </m:r>
                </m:oMath>
              </a14:m>
              <a:r>
                <a:rPr lang="fr-F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endParaRPr lang="fr-FR" b="1" i="1">
                <a:effectLst/>
              </a:endParaRPr>
            </a:p>
            <a:p>
              <a:endParaRPr lang="fr-FR" sz="1100" b="1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345096" y="4254569"/>
              <a:ext cx="5897080" cy="1433513"/>
            </a:xfrm>
            <a:prstGeom prst="rect">
              <a:avLst/>
            </a:prstGeom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𝑷𝒎é𝒄𝒂 𝒕𝒐𝒕𝒂𝒍𝒆 (𝑾)=((</a:t>
              </a:r>
              <a:r>
                <a:rPr lang="fr-FR" sz="1100" b="1" i="0">
                  <a:solidFill>
                    <a:srgbClr val="00B05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𝑹𝒓𝒐𝒖𝒍𝒆𝒎𝒆𝒏𝒕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 ⃗+(</a:t>
              </a:r>
              <a:r>
                <a:rPr lang="fr-FR" sz="11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𝑹𝒂𝒊𝒓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 ⃗</a:t>
              </a:r>
              <a:r>
                <a:rPr lang="fr-FR" sz="1100" b="1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×𝑽𝒅</a:t>
              </a:r>
              <a:r>
                <a:rPr lang="fr-FR" sz="1100" b="1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(pas de</a:t>
              </a:r>
              <a:r>
                <a:rPr lang="fr-FR" sz="1100" b="1" i="1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changement de position verticale)</a:t>
              </a:r>
              <a:br>
                <a:rPr lang="fr-FR" sz="1100" b="1" i="1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</a:br>
              <a:r>
                <a:rPr lang="fr-FR" sz="1200" b="1" i="0">
                  <a:latin typeface="Cambria Math"/>
                </a:rPr>
                <a:t>𝑷𝒎é𝒄𝒂</a:t>
              </a:r>
              <a:r>
                <a:rPr lang="fr-FR" sz="1200" b="1" i="0">
                  <a:latin typeface="Cambria Math" panose="02040503050406030204" pitchFamily="18" charset="0"/>
                </a:rPr>
                <a:t> 𝒕𝒐𝒕𝒂𝒍𝒆 (𝑾)=</a:t>
              </a:r>
              <a:r>
                <a:rPr lang="fr-FR" sz="1200" b="1" i="0">
                  <a:solidFill>
                    <a:srgbClr val="00B050"/>
                  </a:solidFill>
                  <a:effectLst/>
                  <a:latin typeface="Cambria Math"/>
                  <a:ea typeface="+mn-ea"/>
                  <a:cs typeface="+mn-cs"/>
                </a:rPr>
                <a:t>𝝆</a:t>
              </a:r>
              <a:r>
                <a:rPr lang="fr-FR" sz="1200" b="1" i="0">
                  <a:solidFill>
                    <a:srgbClr val="00B05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fr-FR" sz="1200" b="1" i="0">
                  <a:solidFill>
                    <a:srgbClr val="00B050"/>
                  </a:solidFill>
                  <a:latin typeface="Cambria Math"/>
                </a:rPr>
                <a:t>𝟐</a:t>
              </a:r>
              <a:r>
                <a:rPr lang="fr-FR" sz="1200" b="1" i="0">
                  <a:solidFill>
                    <a:srgbClr val="00B050"/>
                  </a:solidFill>
                  <a:latin typeface="Cambria Math"/>
                  <a:ea typeface="Cambria Math"/>
                </a:rPr>
                <a:t>×𝑺𝑪𝒙</a:t>
              </a:r>
              <a:r>
                <a:rPr lang="fr-FR" sz="1200" b="1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×〖𝑽𝒂𝒊𝒓〗^²×𝑽𝒅</a:t>
              </a:r>
              <a:r>
                <a:rPr lang="fr-FR" sz="1200" b="1" i="0">
                  <a:latin typeface="Cambria Math"/>
                  <a:ea typeface="Cambria Math"/>
                </a:rPr>
                <a:t>+</a:t>
              </a:r>
              <a:r>
                <a:rPr lang="fr-FR" sz="1200" b="1" i="0">
                  <a:solidFill>
                    <a:srgbClr val="FF0000"/>
                  </a:solidFill>
                  <a:latin typeface="Cambria Math"/>
                  <a:ea typeface="Cambria Math"/>
                </a:rPr>
                <a:t>𝑪𝒓×𝑴𝒈</a:t>
              </a:r>
              <a:r>
                <a:rPr lang="fr-FR" sz="12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×𝑽𝒅</a:t>
              </a:r>
              <a:br>
                <a:rPr lang="fr-FR" sz="1200" b="1" i="1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(𝑹𝒕𝒐𝒕𝒂𝒍𝒆) ⃗(𝑵)=𝝆/𝟐×𝑺𝒄𝒙×𝑽𝒂𝒊𝒓²+𝑪𝒓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×𝑴𝒈</a:t>
              </a:r>
              <a:endParaRPr lang="fr-FR" b="1" i="1">
                <a:effectLst/>
              </a:endParaRP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(𝑹𝒂𝒊𝒓) ⃗(𝑵)=𝝆/𝟐×𝑺𝒄𝒙×𝑽𝒂𝒊𝒓²</a:t>
              </a:r>
              <a:endParaRPr lang="fr-FR" b="1" i="1">
                <a:effectLst/>
              </a:endParaRP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11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𝑷𝒂𝒊𝒓 (𝑾)=(𝑭𝒂𝒊𝒓) ⃗×𝑽</a:t>
              </a:r>
              <a:r>
                <a:rPr lang="fr-FR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</a:t>
              </a:r>
              <a:endParaRPr lang="fr-FR" b="1" i="1">
                <a:effectLst/>
              </a:endParaRPr>
            </a:p>
            <a:p>
              <a:endParaRPr lang="fr-FR" sz="1100" b="1"/>
            </a:p>
          </xdr:txBody>
        </xdr:sp>
      </mc:Fallback>
    </mc:AlternateContent>
    <xdr:clientData/>
  </xdr:oneCellAnchor>
  <xdr:oneCellAnchor>
    <xdr:from>
      <xdr:col>2</xdr:col>
      <xdr:colOff>4038600</xdr:colOff>
      <xdr:row>42</xdr:row>
      <xdr:rowOff>190500</xdr:rowOff>
    </xdr:from>
    <xdr:ext cx="516956" cy="1898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5562600" y="9239250"/>
              <a:ext cx="516956" cy="1898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𝑹𝒂𝒊𝒓</m:t>
                        </m:r>
                        <m:r>
                          <a:rPr lang="fr-FR" sz="1100" b="1" i="1">
                            <a:solidFill>
                              <a:srgbClr val="00B050"/>
                            </a:solidFill>
                            <a:latin typeface="Cambria Math" panose="02040503050406030204" pitchFamily="18" charset="0"/>
                          </a:rPr>
                          <m:t>=</m:t>
                        </m:r>
                      </m:e>
                    </m:acc>
                  </m:oMath>
                </m:oMathPara>
              </a14:m>
              <a:endParaRPr lang="fr-FR" sz="1100" b="1">
                <a:solidFill>
                  <a:srgbClr val="00B05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5" name="ZoneTexte 4"/>
            <xdr:cNvSpPr txBox="1"/>
          </xdr:nvSpPr>
          <xdr:spPr>
            <a:xfrm>
              <a:off x="5562600" y="9239250"/>
              <a:ext cx="516956" cy="189860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(𝑹𝒂𝒊𝒓=) ⃗</a:t>
              </a:r>
              <a:endParaRPr lang="fr-FR" sz="1100" b="1">
                <a:solidFill>
                  <a:srgbClr val="00B05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3543299</xdr:colOff>
      <xdr:row>45</xdr:row>
      <xdr:rowOff>28575</xdr:rowOff>
    </xdr:from>
    <xdr:ext cx="981075" cy="1944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067299" y="9677400"/>
              <a:ext cx="981075" cy="19447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𝑹𝒓𝒐𝒖𝒍𝒆𝒎𝒆𝒏𝒕</m:t>
                        </m:r>
                        <m:r>
                          <a:rPr lang="fr-FR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=</m:t>
                        </m:r>
                      </m:e>
                    </m:acc>
                  </m:oMath>
                </m:oMathPara>
              </a14:m>
              <a:endParaRPr lang="fr-FR" sz="1100" b="1">
                <a:solidFill>
                  <a:srgbClr val="FF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6" name="ZoneTexte 5"/>
            <xdr:cNvSpPr txBox="1"/>
          </xdr:nvSpPr>
          <xdr:spPr>
            <a:xfrm>
              <a:off x="5067299" y="9677400"/>
              <a:ext cx="981075" cy="19447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(𝑹𝒓𝒐𝒖𝒍𝒆𝒎𝒆𝒏𝒕=) ⃗</a:t>
              </a:r>
              <a:endParaRPr lang="fr-FR" sz="1100" b="1">
                <a:solidFill>
                  <a:srgbClr val="FF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3419475</xdr:colOff>
      <xdr:row>44</xdr:row>
      <xdr:rowOff>19050</xdr:rowOff>
    </xdr:from>
    <xdr:ext cx="1114425" cy="195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4943475" y="9467850"/>
              <a:ext cx="1114425" cy="195375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chemeClr val="tx2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chemeClr val="tx2"/>
                            </a:solidFill>
                            <a:latin typeface="Cambria Math" panose="02040503050406030204" pitchFamily="18" charset="0"/>
                          </a:rPr>
                          <m:t>𝑹𝒑𝒐𝒕</m:t>
                        </m:r>
                        <m:r>
                          <a:rPr lang="fr-FR" sz="1100" b="1" i="1">
                            <a:solidFill>
                              <a:schemeClr val="tx2"/>
                            </a:solidFill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fr-FR" sz="1100" b="1" i="1">
                            <a:solidFill>
                              <a:schemeClr val="tx2"/>
                            </a:solidFill>
                            <a:latin typeface="Cambria Math" panose="02040503050406030204" pitchFamily="18" charset="0"/>
                          </a:rPr>
                          <m:t>𝒈𝒓𝒂𝒗𝒊𝒕</m:t>
                        </m:r>
                        <m:r>
                          <a:rPr lang="fr-FR" sz="1100" b="1" i="1">
                            <a:solidFill>
                              <a:schemeClr val="tx2"/>
                            </a:solidFill>
                            <a:latin typeface="Cambria Math" panose="02040503050406030204" pitchFamily="18" charset="0"/>
                          </a:rPr>
                          <m:t>é)=</m:t>
                        </m:r>
                      </m:e>
                    </m:acc>
                  </m:oMath>
                </m:oMathPara>
              </a14:m>
              <a:endParaRPr lang="fr-FR" sz="1100" b="1">
                <a:solidFill>
                  <a:schemeClr val="tx2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7" name="ZoneTexte 6"/>
            <xdr:cNvSpPr txBox="1"/>
          </xdr:nvSpPr>
          <xdr:spPr>
            <a:xfrm>
              <a:off x="4943475" y="9467850"/>
              <a:ext cx="1114425" cy="195375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1" i="0">
                  <a:solidFill>
                    <a:schemeClr val="tx2"/>
                  </a:solidFill>
                  <a:latin typeface="Cambria Math" panose="02040503050406030204" pitchFamily="18" charset="0"/>
                </a:rPr>
                <a:t>(𝑹𝒑𝒐𝒕(𝒈𝒓𝒂𝒗𝒊𝒕é)=) ⃗</a:t>
              </a:r>
              <a:endParaRPr lang="fr-FR" sz="1100" b="1">
                <a:solidFill>
                  <a:schemeClr val="tx2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3857625</xdr:colOff>
      <xdr:row>46</xdr:row>
      <xdr:rowOff>28577</xdr:rowOff>
    </xdr:from>
    <xdr:ext cx="666750" cy="1944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ZoneText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5381625" y="9877427"/>
              <a:ext cx="666750" cy="19447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⃗"/>
                        <m:ctrlPr>
                          <a:rPr lang="fr-FR" sz="11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FR" sz="11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𝑹𝒕𝒐𝒕𝒂𝒍𝒆</m:t>
                        </m:r>
                        <m:r>
                          <a:rPr lang="fr-FR" sz="1100" b="1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=</m:t>
                        </m:r>
                      </m:e>
                    </m:acc>
                  </m:oMath>
                </m:oMathPara>
              </a14:m>
              <a:endParaRPr lang="fr-FR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8" name="ZoneTexte 7"/>
            <xdr:cNvSpPr txBox="1"/>
          </xdr:nvSpPr>
          <xdr:spPr>
            <a:xfrm>
              <a:off x="5381625" y="9877427"/>
              <a:ext cx="666750" cy="194477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(𝑹𝒕𝒐𝒕𝒂𝒍𝒆=) ⃗</a:t>
              </a:r>
              <a:endParaRPr lang="fr-FR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8:E13" totalsRowShown="0" headerRowDxfId="44" dataDxfId="43" tableBorderDxfId="42">
  <autoFilter ref="A8:E13" xr:uid="{00000000-0009-0000-0100-000001000000}"/>
  <tableColumns count="5">
    <tableColumn id="1" xr3:uid="{00000000-0010-0000-0000-000001000000}" name="Référence" dataDxfId="41"/>
    <tableColumn id="2" xr3:uid="{00000000-0010-0000-0000-000002000000}" name="V (km/h)" dataDxfId="40"/>
    <tableColumn id="3" xr3:uid="{00000000-0010-0000-0000-000003000000}" name="P (W)" dataDxfId="39"/>
    <tableColumn id="5" xr3:uid="{00000000-0010-0000-0000-000005000000}" name="V² (m/s)" dataDxfId="38">
      <calculatedColumnFormula>POWER(((Tableau1[[#This Row],[V (km/h)]]+$G$9)/3.6),2)</calculatedColumnFormula>
    </tableColumn>
    <tableColumn id="4" xr3:uid="{00000000-0010-0000-0000-000004000000}" name="Rtot. (N)" dataDxfId="37">
      <calculatedColumnFormula>C9/(B9/3.6)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6D9606-DC44-4312-91E2-2E9228D88DC1}" name="Tableau13" displayName="Tableau13" ref="A18:E23" totalsRowShown="0" headerRowDxfId="36" dataDxfId="35" tableBorderDxfId="34">
  <autoFilter ref="A18:E23" xr:uid="{8194C280-CA12-4543-A979-FE2CB76EF574}"/>
  <tableColumns count="5">
    <tableColumn id="1" xr3:uid="{809D4A00-F8E9-4E54-AD97-EE14C9D73B51}" name="Référence" dataDxfId="33"/>
    <tableColumn id="2" xr3:uid="{5ACA1746-DC55-44E8-8FDB-3CE6C9FDAE9F}" name="V (km/h)" dataDxfId="32"/>
    <tableColumn id="3" xr3:uid="{3272089F-7B03-4F01-86CA-BF1B471D4645}" name="P (W)" dataDxfId="31">
      <calculatedColumnFormula>C9*0.95</calculatedColumnFormula>
    </tableColumn>
    <tableColumn id="5" xr3:uid="{142ECC3E-375C-45FA-8DC8-86142B74815F}" name="V² (m/s)" dataDxfId="30">
      <calculatedColumnFormula>POWER(((Tableau13[[#This Row],[V (km/h)]]+$G$9)/3.6),2)</calculatedColumnFormula>
    </tableColumn>
    <tableColumn id="4" xr3:uid="{0B18D8B3-A7E4-44B0-BD30-95DEA34571FA}" name="Rtot. (N)" dataDxfId="29">
      <calculatedColumnFormula>C19/(B19/3.6)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946833-1F01-429A-A3FB-E8A9F229D622}" name="Tableau134" displayName="Tableau134" ref="A28:E33" totalsRowShown="0" headerRowDxfId="28" dataDxfId="27" tableBorderDxfId="26">
  <autoFilter ref="A28:E33" xr:uid="{18450559-B3C9-45C1-9265-A40C756BC27A}"/>
  <tableColumns count="5">
    <tableColumn id="1" xr3:uid="{4DFC447A-8285-4728-9B5C-3E62AAD76E24}" name="Référence" dataDxfId="25"/>
    <tableColumn id="2" xr3:uid="{E3580274-1D91-48DE-B60F-C427727AC4AE}" name="V (km/h)" dataDxfId="24"/>
    <tableColumn id="3" xr3:uid="{39D55DD6-27E4-4465-B9DC-D80B091C5B9B}" name="P (W)" dataDxfId="23">
      <calculatedColumnFormula>C19*0.85</calculatedColumnFormula>
    </tableColumn>
    <tableColumn id="5" xr3:uid="{841242EB-5E06-4ECD-A461-D646EB5D26BD}" name="V² (m/s)" dataDxfId="22">
      <calculatedColumnFormula>POWER(((Tableau134[[#This Row],[V (km/h)]]+$G$9)/3.6),2)</calculatedColumnFormula>
    </tableColumn>
    <tableColumn id="4" xr3:uid="{1F65145B-D109-4FF0-994B-F9025F21A017}" name="Rtot. (N)" dataDxfId="21">
      <calculatedColumnFormula>C29/(B29/3.6)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10EC88-832B-40CA-8DE7-9F0D7F140104}" name="Tableau15" displayName="Tableau15" ref="A16:F19" totalsRowShown="0" headerRowDxfId="20" dataDxfId="19" tableBorderDxfId="18">
  <autoFilter ref="A16:F19" xr:uid="{5D97CA72-AF6A-48EA-91A5-FBC8B5966D9C}"/>
  <tableColumns count="6">
    <tableColumn id="1" xr3:uid="{971DFD1D-69EF-4EE3-9C85-F62267E6531A}" name="Position" dataDxfId="17"/>
    <tableColumn id="2" xr3:uid="{7E31900C-E4F2-41E7-84D9-24D882581E91}" name="Scx" dataDxfId="16"/>
    <tableColumn id="3" xr3:uid="{7108CBE7-1631-4C4E-80F3-9BE479687A2F}" name="Pow. @42kmh" dataDxfId="15"/>
    <tableColumn id="5" xr3:uid="{F128B414-A541-445E-BAD8-C5B8D954DDFA}" name="Pow. @47kmh" dataDxfId="14">
      <calculatedColumnFormula>'Reg.lin Données'!C13</calculatedColumnFormula>
    </tableColumn>
    <tableColumn id="4" xr3:uid="{42E0EA1D-FE26-42E9-8AB6-0425356B377A}" name="Cr" dataDxfId="13">
      <calculatedColumnFormula>'Reg.lin Données'!B14</calculatedColumnFormula>
    </tableColumn>
    <tableColumn id="6" xr3:uid="{4FB9D32C-CED2-4932-9F4A-8AA25882543C}" name="Commentaires" dataDxfId="1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1"/>
  <sheetViews>
    <sheetView showGridLines="0" tabSelected="1" topLeftCell="A18" zoomScale="115" zoomScaleNormal="115" workbookViewId="0">
      <selection activeCell="F41" sqref="F41"/>
    </sheetView>
  </sheetViews>
  <sheetFormatPr baseColWidth="10" defaultColWidth="0" defaultRowHeight="13.8" zeroHeight="1" x14ac:dyDescent="0.3"/>
  <cols>
    <col min="1" max="1" width="20.33203125" style="27" customWidth="1"/>
    <col min="2" max="2" width="9.88671875" style="27" bestFit="1" customWidth="1"/>
    <col min="3" max="3" width="7.21875" style="27" bestFit="1" customWidth="1"/>
    <col min="4" max="4" width="9.33203125" style="27" bestFit="1" customWidth="1"/>
    <col min="5" max="5" width="9.5546875" style="27" bestFit="1" customWidth="1"/>
    <col min="6" max="6" width="16.33203125" style="27" bestFit="1" customWidth="1"/>
    <col min="7" max="7" width="7.21875" style="27" customWidth="1"/>
    <col min="8" max="8" width="3.21875" style="27" customWidth="1"/>
    <col min="9" max="9" width="11" style="27" hidden="1" customWidth="1"/>
    <col min="10" max="10" width="2.88671875" style="27" hidden="1" customWidth="1"/>
    <col min="11" max="16384" width="11" style="27" hidden="1"/>
  </cols>
  <sheetData>
    <row r="1" spans="1:7" x14ac:dyDescent="0.3"/>
    <row r="2" spans="1:7" ht="20.100000000000001" customHeight="1" x14ac:dyDescent="0.3">
      <c r="A2" s="68" t="s">
        <v>56</v>
      </c>
      <c r="B2" s="101"/>
      <c r="C2" s="102"/>
    </row>
    <row r="3" spans="1:7" ht="20.100000000000001" customHeight="1" x14ac:dyDescent="0.3">
      <c r="A3" s="68" t="s">
        <v>55</v>
      </c>
      <c r="B3" s="99">
        <v>64</v>
      </c>
      <c r="C3" s="100"/>
    </row>
    <row r="4" spans="1:7" ht="20.100000000000001" customHeight="1" x14ac:dyDescent="0.3">
      <c r="A4" s="68" t="s">
        <v>57</v>
      </c>
      <c r="B4" s="93" t="s">
        <v>33</v>
      </c>
      <c r="C4" s="94"/>
      <c r="D4" s="94"/>
      <c r="E4" s="95"/>
    </row>
    <row r="5" spans="1:7" ht="49.5" customHeight="1" x14ac:dyDescent="0.3">
      <c r="B5" s="96"/>
      <c r="C5" s="97"/>
      <c r="D5" s="97"/>
      <c r="E5" s="98"/>
    </row>
    <row r="6" spans="1:7" x14ac:dyDescent="0.3"/>
    <row r="7" spans="1:7" x14ac:dyDescent="0.3">
      <c r="A7" s="92" t="s">
        <v>86</v>
      </c>
      <c r="B7" s="92"/>
      <c r="C7" s="92"/>
      <c r="D7" s="92"/>
      <c r="E7" s="92"/>
      <c r="F7" s="92"/>
      <c r="G7" s="92"/>
    </row>
    <row r="8" spans="1:7" x14ac:dyDescent="0.3">
      <c r="A8" s="24" t="s">
        <v>59</v>
      </c>
      <c r="B8" s="24" t="s">
        <v>82</v>
      </c>
      <c r="C8" s="24" t="s">
        <v>83</v>
      </c>
      <c r="D8" s="24" t="s">
        <v>84</v>
      </c>
      <c r="E8" s="24" t="s">
        <v>85</v>
      </c>
      <c r="F8" s="74" t="s">
        <v>29</v>
      </c>
      <c r="G8" s="75">
        <v>35</v>
      </c>
    </row>
    <row r="9" spans="1:7" x14ac:dyDescent="0.3">
      <c r="A9" s="27" t="s">
        <v>60</v>
      </c>
      <c r="B9" s="27">
        <v>28</v>
      </c>
      <c r="C9" s="27">
        <v>100</v>
      </c>
      <c r="D9" s="69">
        <f>POWER(((Tableau1[[#This Row],[V (km/h)]]+$G$9)/3.6),2)</f>
        <v>60.493827160493822</v>
      </c>
      <c r="E9" s="83">
        <f>C9/(B9/3.6)</f>
        <v>12.857142857142858</v>
      </c>
      <c r="F9" s="76" t="s">
        <v>32</v>
      </c>
      <c r="G9" s="77">
        <v>0</v>
      </c>
    </row>
    <row r="10" spans="1:7" x14ac:dyDescent="0.3">
      <c r="A10" s="27" t="s">
        <v>61</v>
      </c>
      <c r="B10" s="27">
        <v>33</v>
      </c>
      <c r="C10" s="27">
        <v>150</v>
      </c>
      <c r="D10" s="69">
        <f>POWER(((Tableau1[[#This Row],[V (km/h)]]+$G$9)/3.6),2)</f>
        <v>84.027777777777771</v>
      </c>
      <c r="E10" s="83">
        <f t="shared" ref="E10:E13" si="0">C10/(B10/3.6)</f>
        <v>16.363636363636363</v>
      </c>
      <c r="F10" s="76" t="s">
        <v>48</v>
      </c>
      <c r="G10" s="81">
        <v>0.4</v>
      </c>
    </row>
    <row r="11" spans="1:7" x14ac:dyDescent="0.3">
      <c r="A11" s="27" t="s">
        <v>62</v>
      </c>
      <c r="B11" s="27">
        <v>37</v>
      </c>
      <c r="C11" s="27">
        <v>200</v>
      </c>
      <c r="D11" s="69">
        <f>POWER(((Tableau1[[#This Row],[V (km/h)]]+$G$9)/3.6),2)</f>
        <v>105.63271604938269</v>
      </c>
      <c r="E11" s="83">
        <f t="shared" si="0"/>
        <v>19.45945945945946</v>
      </c>
      <c r="F11" s="76" t="s">
        <v>50</v>
      </c>
      <c r="G11" s="78">
        <f>6.108*EXP(0.0628*G8)</f>
        <v>55.01464306573645</v>
      </c>
    </row>
    <row r="12" spans="1:7" x14ac:dyDescent="0.3">
      <c r="A12" s="27" t="s">
        <v>63</v>
      </c>
      <c r="B12" s="27">
        <v>42</v>
      </c>
      <c r="C12" s="27">
        <v>270</v>
      </c>
      <c r="D12" s="69">
        <f>POWER(((Tableau1[[#This Row],[V (km/h)]]+$G$9)/3.6),2)</f>
        <v>136.11111111111109</v>
      </c>
      <c r="E12" s="83">
        <f t="shared" si="0"/>
        <v>23.142857142857142</v>
      </c>
      <c r="F12" s="79" t="s">
        <v>49</v>
      </c>
      <c r="G12" s="80">
        <v>900</v>
      </c>
    </row>
    <row r="13" spans="1:7" x14ac:dyDescent="0.3">
      <c r="A13" s="27" t="s">
        <v>64</v>
      </c>
      <c r="B13" s="27">
        <v>47</v>
      </c>
      <c r="C13" s="27">
        <v>370</v>
      </c>
      <c r="D13" s="69">
        <f>POWER(((Tableau1[[#This Row],[V (km/h)]]+$G$9)/3.6),2)</f>
        <v>170.44753086419752</v>
      </c>
      <c r="E13" s="83">
        <f t="shared" si="0"/>
        <v>28.340425531914892</v>
      </c>
      <c r="F13" s="70" t="s">
        <v>30</v>
      </c>
      <c r="G13" s="22">
        <f>((1-(0.3783*G10*G11*100)/100000)*(G12*100))/(287.058*(G8+273))</f>
        <v>1.0094657392082349</v>
      </c>
    </row>
    <row r="14" spans="1:7" x14ac:dyDescent="0.3">
      <c r="A14" s="71" t="s">
        <v>31</v>
      </c>
      <c r="B14" s="72">
        <f>(INTERCEPT(Tableau1[Rtot. (N)],Tableau1[V² (m/s)]))/($B$3*9.81)</f>
        <v>7.3058988410791862E-3</v>
      </c>
    </row>
    <row r="15" spans="1:7" x14ac:dyDescent="0.3">
      <c r="A15" s="71" t="s">
        <v>28</v>
      </c>
      <c r="B15" s="73">
        <f>(LINEST(Tableau1[Rtot. (N)],Tableau1[V² (m/s)]))/(G13*0.5)</f>
        <v>0.27484422150756238</v>
      </c>
    </row>
    <row r="16" spans="1:7" x14ac:dyDescent="0.3"/>
    <row r="17" spans="1:7" x14ac:dyDescent="0.3">
      <c r="A17" s="92" t="s">
        <v>87</v>
      </c>
      <c r="B17" s="92"/>
      <c r="C17" s="92"/>
      <c r="D17" s="92"/>
      <c r="E17" s="92"/>
      <c r="F17" s="92"/>
      <c r="G17" s="92"/>
    </row>
    <row r="18" spans="1:7" x14ac:dyDescent="0.3">
      <c r="A18" s="24" t="s">
        <v>59</v>
      </c>
      <c r="B18" s="24" t="s">
        <v>82</v>
      </c>
      <c r="C18" s="24" t="s">
        <v>83</v>
      </c>
      <c r="D18" s="24" t="s">
        <v>84</v>
      </c>
      <c r="E18" s="24" t="s">
        <v>85</v>
      </c>
      <c r="F18" s="74" t="s">
        <v>29</v>
      </c>
      <c r="G18" s="75">
        <v>35</v>
      </c>
    </row>
    <row r="19" spans="1:7" x14ac:dyDescent="0.3">
      <c r="A19" s="27" t="s">
        <v>65</v>
      </c>
      <c r="B19" s="27">
        <v>28</v>
      </c>
      <c r="C19" s="27">
        <f>C9*0.95</f>
        <v>95</v>
      </c>
      <c r="D19" s="69">
        <f>POWER(((Tableau13[[#This Row],[V (km/h)]]+$G$9)/3.6),2)</f>
        <v>60.493827160493822</v>
      </c>
      <c r="E19" s="83">
        <f>C19/(B19/3.6)</f>
        <v>12.214285714285715</v>
      </c>
      <c r="F19" s="76" t="s">
        <v>32</v>
      </c>
      <c r="G19" s="77">
        <v>0</v>
      </c>
    </row>
    <row r="20" spans="1:7" x14ac:dyDescent="0.3">
      <c r="A20" s="27" t="s">
        <v>66</v>
      </c>
      <c r="B20" s="27">
        <v>33</v>
      </c>
      <c r="C20" s="27">
        <f>C10*0.95</f>
        <v>142.5</v>
      </c>
      <c r="D20" s="69">
        <f>POWER(((Tableau13[[#This Row],[V (km/h)]]+$G$9)/3.6),2)</f>
        <v>84.027777777777771</v>
      </c>
      <c r="E20" s="83">
        <f t="shared" ref="E20:E23" si="1">C20/(B20/3.6)</f>
        <v>15.545454545454547</v>
      </c>
      <c r="F20" s="76" t="s">
        <v>48</v>
      </c>
      <c r="G20" s="81">
        <v>0.4</v>
      </c>
    </row>
    <row r="21" spans="1:7" x14ac:dyDescent="0.3">
      <c r="A21" s="27" t="s">
        <v>67</v>
      </c>
      <c r="B21" s="27">
        <v>37</v>
      </c>
      <c r="C21" s="27">
        <f>C11*0.95</f>
        <v>190</v>
      </c>
      <c r="D21" s="69">
        <f>POWER(((Tableau13[[#This Row],[V (km/h)]]+$G$9)/3.6),2)</f>
        <v>105.63271604938269</v>
      </c>
      <c r="E21" s="83">
        <f t="shared" si="1"/>
        <v>18.486486486486488</v>
      </c>
      <c r="F21" s="76" t="s">
        <v>50</v>
      </c>
      <c r="G21" s="78">
        <f>6.108*EXP(0.0628*G18)</f>
        <v>55.01464306573645</v>
      </c>
    </row>
    <row r="22" spans="1:7" x14ac:dyDescent="0.3">
      <c r="A22" s="27" t="s">
        <v>68</v>
      </c>
      <c r="B22" s="27">
        <v>42</v>
      </c>
      <c r="C22" s="27">
        <f>C12*0.95</f>
        <v>256.5</v>
      </c>
      <c r="D22" s="69">
        <f>POWER(((Tableau13[[#This Row],[V (km/h)]]+$G$9)/3.6),2)</f>
        <v>136.11111111111109</v>
      </c>
      <c r="E22" s="83">
        <f t="shared" si="1"/>
        <v>21.985714285714288</v>
      </c>
      <c r="F22" s="79" t="s">
        <v>49</v>
      </c>
      <c r="G22" s="80">
        <v>900</v>
      </c>
    </row>
    <row r="23" spans="1:7" x14ac:dyDescent="0.3">
      <c r="A23" s="27" t="s">
        <v>69</v>
      </c>
      <c r="B23" s="27">
        <v>47</v>
      </c>
      <c r="C23" s="27">
        <f>C13*0.95</f>
        <v>351.5</v>
      </c>
      <c r="D23" s="69">
        <f>POWER(((Tableau13[[#This Row],[V (km/h)]]+$G$9)/3.6),2)</f>
        <v>170.44753086419752</v>
      </c>
      <c r="E23" s="83">
        <f t="shared" si="1"/>
        <v>26.923404255319149</v>
      </c>
      <c r="F23" s="70" t="s">
        <v>30</v>
      </c>
      <c r="G23" s="22">
        <f>((1-(0.3783*G20*G21*100)/100000)*(G22*100))/(287.058*(G18+273))</f>
        <v>1.0094657392082349</v>
      </c>
    </row>
    <row r="24" spans="1:7" x14ac:dyDescent="0.3">
      <c r="A24" s="71" t="s">
        <v>31</v>
      </c>
      <c r="B24" s="72">
        <f>(INTERCEPT(Tableau13[Rtot. (N)],Tableau13[V² (m/s)]))/($B$3*9.81)</f>
        <v>6.9406038990252267E-3</v>
      </c>
    </row>
    <row r="25" spans="1:7" x14ac:dyDescent="0.3">
      <c r="A25" s="71" t="s">
        <v>28</v>
      </c>
      <c r="B25" s="73">
        <f>(LINEST(Tableau13[Rtot. (N)],Tableau13[V² (m/s)]))/(G23*0.5)</f>
        <v>0.26110201043218428</v>
      </c>
    </row>
    <row r="26" spans="1:7" x14ac:dyDescent="0.3"/>
    <row r="27" spans="1:7" x14ac:dyDescent="0.3">
      <c r="A27" s="92" t="s">
        <v>88</v>
      </c>
      <c r="B27" s="92"/>
      <c r="C27" s="92"/>
      <c r="D27" s="92"/>
      <c r="E27" s="92"/>
      <c r="F27" s="92"/>
      <c r="G27" s="92"/>
    </row>
    <row r="28" spans="1:7" x14ac:dyDescent="0.3">
      <c r="A28" s="24" t="s">
        <v>59</v>
      </c>
      <c r="B28" s="24" t="s">
        <v>82</v>
      </c>
      <c r="C28" s="24" t="s">
        <v>83</v>
      </c>
      <c r="D28" s="24" t="s">
        <v>84</v>
      </c>
      <c r="E28" s="24" t="s">
        <v>85</v>
      </c>
      <c r="F28" s="74" t="s">
        <v>29</v>
      </c>
      <c r="G28" s="75">
        <v>35</v>
      </c>
    </row>
    <row r="29" spans="1:7" x14ac:dyDescent="0.3">
      <c r="A29" s="27" t="s">
        <v>70</v>
      </c>
      <c r="B29" s="27">
        <v>28</v>
      </c>
      <c r="C29" s="27">
        <f t="shared" ref="C29:C33" si="2">C19*0.85</f>
        <v>80.75</v>
      </c>
      <c r="D29" s="69">
        <f>POWER(((Tableau134[[#This Row],[V (km/h)]]+$G$9)/3.6),2)</f>
        <v>60.493827160493822</v>
      </c>
      <c r="E29" s="83">
        <f>C29/(B29/3.6)</f>
        <v>10.382142857142858</v>
      </c>
      <c r="F29" s="76" t="s">
        <v>32</v>
      </c>
      <c r="G29" s="77">
        <v>0</v>
      </c>
    </row>
    <row r="30" spans="1:7" x14ac:dyDescent="0.3">
      <c r="A30" s="27" t="s">
        <v>71</v>
      </c>
      <c r="B30" s="27">
        <v>33</v>
      </c>
      <c r="C30" s="27">
        <f t="shared" si="2"/>
        <v>121.125</v>
      </c>
      <c r="D30" s="69">
        <f>POWER(((Tableau134[[#This Row],[V (km/h)]]+$G$9)/3.6),2)</f>
        <v>84.027777777777771</v>
      </c>
      <c r="E30" s="83">
        <f t="shared" ref="E30:E33" si="3">C30/(B30/3.6)</f>
        <v>13.213636363636365</v>
      </c>
      <c r="F30" s="76" t="s">
        <v>48</v>
      </c>
      <c r="G30" s="81">
        <v>0.4</v>
      </c>
    </row>
    <row r="31" spans="1:7" x14ac:dyDescent="0.3">
      <c r="A31" s="27" t="s">
        <v>72</v>
      </c>
      <c r="B31" s="27">
        <v>37</v>
      </c>
      <c r="C31" s="27">
        <f t="shared" si="2"/>
        <v>161.5</v>
      </c>
      <c r="D31" s="69">
        <f>POWER(((Tableau134[[#This Row],[V (km/h)]]+$G$9)/3.6),2)</f>
        <v>105.63271604938269</v>
      </c>
      <c r="E31" s="83">
        <f t="shared" si="3"/>
        <v>15.713513513513515</v>
      </c>
      <c r="F31" s="76" t="s">
        <v>50</v>
      </c>
      <c r="G31" s="78">
        <f>6.108*EXP(0.0628*G28)</f>
        <v>55.01464306573645</v>
      </c>
    </row>
    <row r="32" spans="1:7" x14ac:dyDescent="0.3">
      <c r="A32" s="27" t="s">
        <v>73</v>
      </c>
      <c r="B32" s="27">
        <v>42</v>
      </c>
      <c r="C32" s="27">
        <f t="shared" si="2"/>
        <v>218.02500000000001</v>
      </c>
      <c r="D32" s="69">
        <f>POWER(((Tableau134[[#This Row],[V (km/h)]]+$G$9)/3.6),2)</f>
        <v>136.11111111111109</v>
      </c>
      <c r="E32" s="83">
        <f t="shared" si="3"/>
        <v>18.687857142857144</v>
      </c>
      <c r="F32" s="79" t="s">
        <v>49</v>
      </c>
      <c r="G32" s="80">
        <v>900</v>
      </c>
    </row>
    <row r="33" spans="1:7" x14ac:dyDescent="0.3">
      <c r="A33" s="27" t="s">
        <v>74</v>
      </c>
      <c r="B33" s="27">
        <v>47</v>
      </c>
      <c r="C33" s="27">
        <f t="shared" si="2"/>
        <v>298.77499999999998</v>
      </c>
      <c r="D33" s="69">
        <f>POWER(((Tableau134[[#This Row],[V (km/h)]]+$G$9)/3.6),2)</f>
        <v>170.44753086419752</v>
      </c>
      <c r="E33" s="83">
        <f t="shared" si="3"/>
        <v>22.884893617021277</v>
      </c>
      <c r="F33" s="70" t="s">
        <v>30</v>
      </c>
      <c r="G33" s="22">
        <f>((1-(0.3783*G30*G31*100)/100000)*(G32*100))/(287.058*(G28+273))</f>
        <v>1.0094657392082349</v>
      </c>
    </row>
    <row r="34" spans="1:7" x14ac:dyDescent="0.3">
      <c r="A34" s="71" t="s">
        <v>31</v>
      </c>
      <c r="B34" s="72">
        <f>(INTERCEPT(Tableau134[Rtot. (N)],Tableau134[V² (m/s)]))/($B$3*9.81)</f>
        <v>5.8995133141714453E-3</v>
      </c>
    </row>
    <row r="35" spans="1:7" x14ac:dyDescent="0.3">
      <c r="A35" s="71" t="s">
        <v>28</v>
      </c>
      <c r="B35" s="73">
        <f>(LINEST(Tableau134[Rtot. (N)],Tableau134[V² (m/s)]))/(G33*0.5)</f>
        <v>0.2219367088673567</v>
      </c>
    </row>
    <row r="36" spans="1:7" x14ac:dyDescent="0.3"/>
    <row r="37" spans="1:7" x14ac:dyDescent="0.3">
      <c r="A37" s="82" t="s">
        <v>58</v>
      </c>
    </row>
    <row r="38" spans="1:7" ht="37.5" customHeight="1" x14ac:dyDescent="0.3">
      <c r="A38" s="86"/>
      <c r="B38" s="87"/>
      <c r="C38" s="87"/>
      <c r="D38" s="87"/>
      <c r="E38" s="87"/>
      <c r="F38" s="87"/>
      <c r="G38" s="88"/>
    </row>
    <row r="39" spans="1:7" ht="40.5" customHeight="1" x14ac:dyDescent="0.3">
      <c r="A39" s="89"/>
      <c r="B39" s="90"/>
      <c r="C39" s="90"/>
      <c r="D39" s="90"/>
      <c r="E39" s="90"/>
      <c r="F39" s="90"/>
      <c r="G39" s="91"/>
    </row>
    <row r="40" spans="1:7" x14ac:dyDescent="0.3"/>
    <row r="41" spans="1:7" x14ac:dyDescent="0.3"/>
    <row r="42" spans="1:7" x14ac:dyDescent="0.3"/>
    <row r="43" spans="1:7" x14ac:dyDescent="0.3"/>
    <row r="44" spans="1:7" x14ac:dyDescent="0.3"/>
    <row r="45" spans="1:7" x14ac:dyDescent="0.3"/>
    <row r="46" spans="1:7" x14ac:dyDescent="0.3"/>
    <row r="47" spans="1:7" x14ac:dyDescent="0.3"/>
    <row r="48" spans="1:7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</sheetData>
  <protectedRanges>
    <protectedRange sqref="B4:E5 B2:C3 A9:C13 G12 B38:E39 G8:G10 G22 G18:G20 G32 A19:C23 A29:C33 G28:G30" name="Plage1"/>
    <protectedRange sqref="G11 G21 G31" name="Plage1_3"/>
  </protectedRanges>
  <mergeCells count="7">
    <mergeCell ref="A38:G39"/>
    <mergeCell ref="A27:G27"/>
    <mergeCell ref="B4:E5"/>
    <mergeCell ref="B3:C3"/>
    <mergeCell ref="B2:C2"/>
    <mergeCell ref="A7:G7"/>
    <mergeCell ref="A17:G17"/>
  </mergeCells>
  <conditionalFormatting sqref="A29:A33 C29:C33">
    <cfRule type="containsBlanks" dxfId="11" priority="7">
      <formula>LEN(TRIM(A29))=0</formula>
    </cfRule>
  </conditionalFormatting>
  <conditionalFormatting sqref="A19:C23">
    <cfRule type="containsBlanks" dxfId="10" priority="11">
      <formula>LEN(TRIM(A19))=0</formula>
    </cfRule>
  </conditionalFormatting>
  <conditionalFormatting sqref="B29:B33">
    <cfRule type="containsBlanks" dxfId="9" priority="3">
      <formula>LEN(TRIM(B29))=0</formula>
    </cfRule>
  </conditionalFormatting>
  <conditionalFormatting sqref="B2:C3 B4:E5 A9:C13">
    <cfRule type="containsBlanks" dxfId="8" priority="25">
      <formula>LEN(TRIM(A2))=0</formula>
    </cfRule>
  </conditionalFormatting>
  <conditionalFormatting sqref="G8:G10">
    <cfRule type="containsBlanks" dxfId="7" priority="12">
      <formula>LEN(TRIM(G8))=0</formula>
    </cfRule>
  </conditionalFormatting>
  <conditionalFormatting sqref="G12">
    <cfRule type="containsBlanks" dxfId="6" priority="24">
      <formula>LEN(TRIM(G12))=0</formula>
    </cfRule>
  </conditionalFormatting>
  <conditionalFormatting sqref="G13">
    <cfRule type="colorScale" priority="18">
      <colorScale>
        <cfvo type="num" val="1.06"/>
        <cfvo type="percent" val="50"/>
        <cfvo type="num" val="1.25"/>
        <color rgb="FF00E668"/>
        <color rgb="FFFFEB84"/>
        <color rgb="FFFF0000"/>
      </colorScale>
    </cfRule>
  </conditionalFormatting>
  <conditionalFormatting sqref="G18:G20">
    <cfRule type="containsBlanks" dxfId="5" priority="8">
      <formula>LEN(TRIM(G18))=0</formula>
    </cfRule>
  </conditionalFormatting>
  <conditionalFormatting sqref="G22">
    <cfRule type="containsBlanks" dxfId="4" priority="10">
      <formula>LEN(TRIM(G22))=0</formula>
    </cfRule>
  </conditionalFormatting>
  <conditionalFormatting sqref="G23">
    <cfRule type="colorScale" priority="9">
      <colorScale>
        <cfvo type="num" val="1.06"/>
        <cfvo type="percent" val="50"/>
        <cfvo type="num" val="1.25"/>
        <color rgb="FF00E668"/>
        <color rgb="FFFFEB84"/>
        <color rgb="FFFF0000"/>
      </colorScale>
    </cfRule>
  </conditionalFormatting>
  <conditionalFormatting sqref="G28:G30">
    <cfRule type="containsBlanks" dxfId="3" priority="1">
      <formula>LEN(TRIM(G28))=0</formula>
    </cfRule>
  </conditionalFormatting>
  <conditionalFormatting sqref="G32">
    <cfRule type="containsBlanks" dxfId="2" priority="6">
      <formula>LEN(TRIM(G32))=0</formula>
    </cfRule>
  </conditionalFormatting>
  <conditionalFormatting sqref="G33">
    <cfRule type="colorScale" priority="5">
      <colorScale>
        <cfvo type="num" val="1.06"/>
        <cfvo type="percent" val="50"/>
        <cfvo type="num" val="1.25"/>
        <color rgb="FF00E668"/>
        <color rgb="FFFFEB84"/>
        <color rgb="FFFF0000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&amp;L&amp;D&amp;T&amp;CAnalyse des effets de la position sur les résistances à l'avancement&amp;R&amp;G
ar-entrainement.com
Alban RENAUD / alban.renaud44@gmail.com</oddHeader>
  </headerFooter>
  <legacyDrawingHF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96FA-A384-41A4-B319-04478A799704}">
  <sheetPr>
    <pageSetUpPr fitToPage="1"/>
  </sheetPr>
  <dimension ref="A1:F30"/>
  <sheetViews>
    <sheetView showGridLines="0" workbookViewId="0">
      <selection activeCell="D29" sqref="D29"/>
    </sheetView>
  </sheetViews>
  <sheetFormatPr baseColWidth="10" defaultColWidth="0" defaultRowHeight="14.4" zeroHeight="1" x14ac:dyDescent="0.3"/>
  <cols>
    <col min="1" max="1" width="9.33203125" bestFit="1" customWidth="1"/>
    <col min="2" max="2" width="5.44140625" bestFit="1" customWidth="1"/>
    <col min="3" max="4" width="14.21875" bestFit="1" customWidth="1"/>
    <col min="5" max="5" width="5.77734375" bestFit="1" customWidth="1"/>
    <col min="6" max="6" width="89.6640625" customWidth="1"/>
    <col min="7" max="16384" width="10.88671875" hidden="1"/>
  </cols>
  <sheetData>
    <row r="1" spans="1:6" x14ac:dyDescent="0.3"/>
    <row r="2" spans="1:6" x14ac:dyDescent="0.3"/>
    <row r="3" spans="1:6" x14ac:dyDescent="0.3"/>
    <row r="4" spans="1:6" x14ac:dyDescent="0.3"/>
    <row r="5" spans="1:6" x14ac:dyDescent="0.3"/>
    <row r="6" spans="1:6" x14ac:dyDescent="0.3"/>
    <row r="7" spans="1:6" x14ac:dyDescent="0.3"/>
    <row r="8" spans="1:6" x14ac:dyDescent="0.3"/>
    <row r="9" spans="1:6" x14ac:dyDescent="0.3"/>
    <row r="10" spans="1:6" x14ac:dyDescent="0.3"/>
    <row r="11" spans="1:6" x14ac:dyDescent="0.3"/>
    <row r="12" spans="1:6" x14ac:dyDescent="0.3"/>
    <row r="13" spans="1:6" x14ac:dyDescent="0.3"/>
    <row r="14" spans="1:6" x14ac:dyDescent="0.3"/>
    <row r="15" spans="1:6" x14ac:dyDescent="0.3"/>
    <row r="16" spans="1:6" x14ac:dyDescent="0.3">
      <c r="A16" s="24" t="s">
        <v>27</v>
      </c>
      <c r="B16" s="24" t="s">
        <v>78</v>
      </c>
      <c r="C16" s="24" t="s">
        <v>79</v>
      </c>
      <c r="D16" s="24" t="s">
        <v>80</v>
      </c>
      <c r="E16" s="24" t="s">
        <v>81</v>
      </c>
      <c r="F16" s="24" t="s">
        <v>57</v>
      </c>
    </row>
    <row r="17" spans="1:6" x14ac:dyDescent="0.3">
      <c r="A17" s="27" t="s">
        <v>75</v>
      </c>
      <c r="B17" s="85">
        <f>'Reg.lin Données'!B15</f>
        <v>0.27484422150756238</v>
      </c>
      <c r="C17" s="69">
        <f>'Reg.lin Données'!C12</f>
        <v>270</v>
      </c>
      <c r="D17" s="69">
        <f>'Reg.lin Données'!C13</f>
        <v>370</v>
      </c>
      <c r="E17" s="84">
        <f>'Reg.lin Données'!B14</f>
        <v>7.3058988410791862E-3</v>
      </c>
      <c r="F17" s="27"/>
    </row>
    <row r="18" spans="1:6" x14ac:dyDescent="0.3">
      <c r="A18" s="27" t="s">
        <v>76</v>
      </c>
      <c r="B18" s="85">
        <f>'Reg.lin Données'!B25</f>
        <v>0.26110201043218428</v>
      </c>
      <c r="C18" s="69">
        <f>'Reg.lin Données'!C22</f>
        <v>256.5</v>
      </c>
      <c r="D18" s="69">
        <f>'Reg.lin Données'!C23</f>
        <v>351.5</v>
      </c>
      <c r="E18" s="84">
        <f>'Reg.lin Données'!B24</f>
        <v>6.9406038990252267E-3</v>
      </c>
      <c r="F18" s="27"/>
    </row>
    <row r="19" spans="1:6" x14ac:dyDescent="0.3">
      <c r="A19" s="27" t="s">
        <v>77</v>
      </c>
      <c r="B19" s="85">
        <f>'Reg.lin Données'!B35</f>
        <v>0.2219367088673567</v>
      </c>
      <c r="C19" s="69">
        <f>'Reg.lin Données'!C32</f>
        <v>218.02500000000001</v>
      </c>
      <c r="D19" s="69">
        <f>'Reg.lin Données'!C33</f>
        <v>298.77499999999998</v>
      </c>
      <c r="E19" s="84">
        <f>'Reg.lin Données'!B34</f>
        <v>5.8995133141714453E-3</v>
      </c>
      <c r="F19" s="27"/>
    </row>
    <row r="20" spans="1:6" x14ac:dyDescent="0.3"/>
    <row r="21" spans="1:6" x14ac:dyDescent="0.3"/>
    <row r="22" spans="1:6" x14ac:dyDescent="0.3"/>
    <row r="23" spans="1:6" x14ac:dyDescent="0.3"/>
    <row r="24" spans="1:6" x14ac:dyDescent="0.3"/>
    <row r="25" spans="1:6" x14ac:dyDescent="0.3"/>
    <row r="26" spans="1:6" x14ac:dyDescent="0.3"/>
    <row r="27" spans="1:6" x14ac:dyDescent="0.3"/>
    <row r="28" spans="1:6" x14ac:dyDescent="0.3"/>
    <row r="29" spans="1:6" x14ac:dyDescent="0.3"/>
    <row r="30" spans="1:6" x14ac:dyDescent="0.3"/>
  </sheetData>
  <protectedRanges>
    <protectedRange sqref="A17:C19" name="Plage1"/>
  </protectedRanges>
  <conditionalFormatting sqref="A17:C19">
    <cfRule type="containsBlanks" dxfId="1" priority="1">
      <formula>LEN(TRIM(A17))=0</formula>
    </cfRule>
  </conditionalFormatting>
  <pageMargins left="0.7" right="0.7" top="0.75" bottom="0.75" header="0.3" footer="0.3"/>
  <pageSetup paperSize="9" scale="9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showGridLines="0" topLeftCell="A27" zoomScale="115" zoomScaleNormal="115" workbookViewId="0">
      <selection activeCell="F9" sqref="F9"/>
    </sheetView>
  </sheetViews>
  <sheetFormatPr baseColWidth="10" defaultColWidth="0" defaultRowHeight="13.8" zeroHeight="1" x14ac:dyDescent="0.3"/>
  <cols>
    <col min="1" max="2" width="11.33203125" style="2" customWidth="1"/>
    <col min="3" max="3" width="68.6640625" style="2" customWidth="1"/>
    <col min="4" max="4" width="9.77734375" style="2" customWidth="1"/>
    <col min="5" max="5" width="10.33203125" style="2" customWidth="1"/>
    <col min="6" max="6" width="11.33203125" style="2" customWidth="1"/>
    <col min="7" max="7" width="3" style="2" customWidth="1"/>
    <col min="8" max="8" width="2.6640625" style="2" hidden="1" customWidth="1"/>
    <col min="9" max="9" width="11.33203125" style="2" hidden="1" customWidth="1"/>
    <col min="10" max="10" width="14.88671875" style="2" hidden="1" customWidth="1"/>
    <col min="11" max="11" width="24.77734375" style="2" hidden="1" customWidth="1"/>
    <col min="12" max="17" width="0" style="2" hidden="1" customWidth="1"/>
    <col min="18" max="16384" width="11.33203125" style="2" hidden="1"/>
  </cols>
  <sheetData>
    <row r="1" spans="1:17" ht="35.25" customHeight="1" thickBot="1" x14ac:dyDescent="0.35">
      <c r="A1" s="106" t="s">
        <v>34</v>
      </c>
      <c r="B1" s="107"/>
      <c r="C1" s="107"/>
      <c r="D1" s="107"/>
      <c r="E1" s="107"/>
      <c r="F1" s="108"/>
      <c r="G1" s="1"/>
      <c r="H1" s="1"/>
      <c r="J1" s="3"/>
    </row>
    <row r="2" spans="1:17" ht="92.55" customHeight="1" x14ac:dyDescent="0.3">
      <c r="A2" s="103" t="s">
        <v>51</v>
      </c>
      <c r="B2" s="104"/>
      <c r="C2" s="104"/>
      <c r="D2" s="104"/>
      <c r="E2" s="4"/>
      <c r="F2" s="5"/>
      <c r="G2" s="6"/>
      <c r="P2" s="7"/>
      <c r="Q2" s="7"/>
    </row>
    <row r="3" spans="1:17" ht="31.95" customHeight="1" x14ac:dyDescent="0.3">
      <c r="A3" s="105" t="s">
        <v>44</v>
      </c>
      <c r="B3" s="105"/>
      <c r="C3" s="105"/>
      <c r="D3" s="105"/>
      <c r="E3" s="105"/>
      <c r="F3" s="105"/>
      <c r="G3" s="6"/>
      <c r="P3" s="7"/>
      <c r="Q3" s="7"/>
    </row>
    <row r="4" spans="1:17" x14ac:dyDescent="0.3">
      <c r="A4" s="115" t="s">
        <v>8</v>
      </c>
      <c r="B4" s="115"/>
      <c r="C4" s="115"/>
      <c r="D4" s="115"/>
      <c r="E4" s="115"/>
    </row>
    <row r="5" spans="1:17" x14ac:dyDescent="0.3">
      <c r="G5" s="109"/>
      <c r="H5" s="109"/>
      <c r="I5" s="109"/>
    </row>
    <row r="6" spans="1:17" x14ac:dyDescent="0.3">
      <c r="G6" s="110"/>
      <c r="H6" s="110"/>
      <c r="I6" s="110"/>
    </row>
    <row r="7" spans="1:17" x14ac:dyDescent="0.3">
      <c r="C7" s="8" t="s">
        <v>36</v>
      </c>
      <c r="D7" s="9">
        <v>0</v>
      </c>
      <c r="E7" s="10" t="s">
        <v>35</v>
      </c>
      <c r="G7" s="11"/>
      <c r="H7" s="11"/>
      <c r="I7" s="11"/>
    </row>
    <row r="8" spans="1:17" x14ac:dyDescent="0.3">
      <c r="C8" s="12" t="s">
        <v>37</v>
      </c>
      <c r="D8" s="13">
        <f>(-0.0992*D7)+1001.9</f>
        <v>1001.9</v>
      </c>
      <c r="E8" s="10" t="s">
        <v>38</v>
      </c>
      <c r="G8" s="110"/>
      <c r="H8" s="110"/>
      <c r="I8" s="110"/>
    </row>
    <row r="9" spans="1:17" x14ac:dyDescent="0.3">
      <c r="C9" s="8" t="s">
        <v>39</v>
      </c>
      <c r="D9" s="14">
        <v>0.9</v>
      </c>
      <c r="E9" s="10" t="s">
        <v>40</v>
      </c>
      <c r="G9" s="11"/>
      <c r="H9" s="11"/>
      <c r="I9" s="11"/>
    </row>
    <row r="10" spans="1:17" x14ac:dyDescent="0.3">
      <c r="C10" s="15" t="s">
        <v>41</v>
      </c>
      <c r="D10" s="16">
        <f>6.108*EXP(0.0628*D12)</f>
        <v>17.764452098247787</v>
      </c>
      <c r="E10" s="10" t="s">
        <v>38</v>
      </c>
      <c r="G10" s="11"/>
      <c r="H10" s="11"/>
      <c r="I10" s="11"/>
    </row>
    <row r="11" spans="1:17" x14ac:dyDescent="0.3">
      <c r="C11" s="17" t="s">
        <v>42</v>
      </c>
      <c r="D11" s="18">
        <v>1000</v>
      </c>
      <c r="E11" s="10" t="s">
        <v>38</v>
      </c>
      <c r="G11" s="11"/>
      <c r="H11" s="11"/>
      <c r="I11" s="11"/>
    </row>
    <row r="12" spans="1:17" x14ac:dyDescent="0.3">
      <c r="C12" s="19" t="s">
        <v>43</v>
      </c>
      <c r="D12" s="20">
        <v>17</v>
      </c>
      <c r="E12" s="10" t="s">
        <v>2</v>
      </c>
      <c r="G12" s="11"/>
      <c r="H12" s="11"/>
      <c r="I12" s="11"/>
    </row>
    <row r="13" spans="1:17" x14ac:dyDescent="0.3">
      <c r="D13" s="20">
        <v>17</v>
      </c>
      <c r="G13" s="110"/>
      <c r="H13" s="110"/>
      <c r="I13" s="110"/>
    </row>
    <row r="14" spans="1:17" x14ac:dyDescent="0.3">
      <c r="C14" s="21" t="s">
        <v>5</v>
      </c>
      <c r="D14" s="22">
        <f>((1-(0.3783*D9*D10*100)/100000)*(D11*100))/(287.058*(D12+273))</f>
        <v>1.19398162836023</v>
      </c>
      <c r="E14" s="23" t="s">
        <v>9</v>
      </c>
      <c r="G14" s="24"/>
      <c r="H14" s="24"/>
      <c r="I14" s="24"/>
    </row>
    <row r="15" spans="1:17" ht="15.75" customHeight="1" x14ac:dyDescent="0.3">
      <c r="C15" s="25"/>
      <c r="D15" s="25"/>
      <c r="E15" s="25"/>
      <c r="G15" s="24"/>
      <c r="H15" s="24"/>
      <c r="I15" s="24"/>
    </row>
    <row r="16" spans="1:17" ht="15.75" customHeight="1" x14ac:dyDescent="0.3">
      <c r="C16" s="26"/>
      <c r="D16" s="26"/>
      <c r="G16" s="27"/>
      <c r="H16" s="28"/>
      <c r="I16" s="28"/>
    </row>
    <row r="17" spans="1:10" ht="15.75" customHeight="1" x14ac:dyDescent="0.3">
      <c r="C17" s="26"/>
      <c r="D17" s="26"/>
      <c r="G17" s="27"/>
      <c r="H17" s="28"/>
      <c r="I17" s="28"/>
    </row>
    <row r="18" spans="1:10" ht="15.75" customHeight="1" x14ac:dyDescent="0.3">
      <c r="C18" s="26"/>
      <c r="D18" s="26"/>
      <c r="G18" s="27"/>
      <c r="H18" s="28"/>
      <c r="I18" s="28"/>
    </row>
    <row r="19" spans="1:10" ht="15.75" customHeight="1" x14ac:dyDescent="0.3">
      <c r="C19" s="26"/>
      <c r="D19" s="26"/>
      <c r="G19" s="27"/>
      <c r="H19" s="28"/>
      <c r="I19" s="28"/>
    </row>
    <row r="20" spans="1:10" ht="15.75" customHeight="1" x14ac:dyDescent="0.3">
      <c r="C20" s="26"/>
      <c r="D20" s="26"/>
      <c r="G20" s="27"/>
      <c r="H20" s="28"/>
      <c r="I20" s="28"/>
    </row>
    <row r="21" spans="1:10" ht="15.75" customHeight="1" x14ac:dyDescent="0.3">
      <c r="G21" s="110"/>
      <c r="H21" s="110"/>
      <c r="I21" s="110"/>
    </row>
    <row r="22" spans="1:10" ht="15.75" customHeight="1" x14ac:dyDescent="0.3">
      <c r="G22" s="110"/>
      <c r="H22" s="110"/>
      <c r="I22" s="110"/>
    </row>
    <row r="23" spans="1:10" ht="15.75" customHeight="1" x14ac:dyDescent="0.3">
      <c r="A23" s="25"/>
      <c r="B23" s="25"/>
      <c r="G23" s="110"/>
      <c r="H23" s="110"/>
      <c r="I23" s="110"/>
    </row>
    <row r="24" spans="1:10" ht="15.75" customHeight="1" thickBot="1" x14ac:dyDescent="0.35">
      <c r="A24" s="29"/>
      <c r="C24" s="30" t="s">
        <v>7</v>
      </c>
      <c r="D24" s="27"/>
      <c r="E24" s="27"/>
      <c r="G24" s="110"/>
      <c r="H24" s="110"/>
      <c r="I24" s="110"/>
    </row>
    <row r="25" spans="1:10" ht="14.4" thickBot="1" x14ac:dyDescent="0.35">
      <c r="C25" s="113" t="s">
        <v>26</v>
      </c>
      <c r="D25" s="114"/>
      <c r="E25" s="27"/>
    </row>
    <row r="26" spans="1:10" x14ac:dyDescent="0.3">
      <c r="C26" s="31" t="s">
        <v>10</v>
      </c>
      <c r="D26" s="32">
        <v>6</v>
      </c>
      <c r="E26" s="33" t="s">
        <v>18</v>
      </c>
    </row>
    <row r="27" spans="1:10" x14ac:dyDescent="0.3">
      <c r="C27" s="34" t="s">
        <v>11</v>
      </c>
      <c r="D27" s="35">
        <f>0.1071*(POWER(D26*100,-0.477))</f>
        <v>5.0653717553409226E-3</v>
      </c>
    </row>
    <row r="28" spans="1:10" x14ac:dyDescent="0.3">
      <c r="A28" s="27"/>
      <c r="B28" s="27"/>
      <c r="C28" s="36" t="s">
        <v>12</v>
      </c>
      <c r="D28" s="37">
        <v>250</v>
      </c>
      <c r="E28" s="33" t="s">
        <v>3</v>
      </c>
      <c r="H28" s="27"/>
      <c r="I28" s="27"/>
      <c r="J28" s="27"/>
    </row>
    <row r="29" spans="1:10" x14ac:dyDescent="0.3">
      <c r="A29" s="27"/>
      <c r="B29" s="27"/>
      <c r="C29" s="36" t="s">
        <v>13</v>
      </c>
      <c r="D29" s="37">
        <v>179</v>
      </c>
      <c r="E29" s="33" t="s">
        <v>15</v>
      </c>
      <c r="F29" s="27"/>
      <c r="G29" s="27"/>
      <c r="H29" s="27"/>
      <c r="I29" s="27"/>
      <c r="J29" s="27"/>
    </row>
    <row r="30" spans="1:10" x14ac:dyDescent="0.3">
      <c r="B30" s="38"/>
      <c r="C30" s="36" t="s">
        <v>6</v>
      </c>
      <c r="D30" s="37">
        <v>54</v>
      </c>
      <c r="E30" s="33" t="s">
        <v>1</v>
      </c>
      <c r="G30" s="27"/>
      <c r="H30" s="27"/>
      <c r="I30" s="27"/>
      <c r="J30" s="27"/>
    </row>
    <row r="31" spans="1:10" x14ac:dyDescent="0.3">
      <c r="B31" s="38"/>
      <c r="C31" s="36" t="s">
        <v>14</v>
      </c>
      <c r="D31" s="37">
        <v>12</v>
      </c>
      <c r="E31" s="33" t="s">
        <v>1</v>
      </c>
      <c r="G31" s="27"/>
      <c r="H31" s="27"/>
      <c r="I31" s="27"/>
      <c r="J31" s="27"/>
    </row>
    <row r="32" spans="1:10" x14ac:dyDescent="0.3">
      <c r="B32" s="38"/>
      <c r="C32" s="36" t="s">
        <v>46</v>
      </c>
      <c r="D32" s="37">
        <v>41.6</v>
      </c>
      <c r="E32" s="33" t="s">
        <v>4</v>
      </c>
      <c r="G32" s="27"/>
      <c r="H32" s="27"/>
      <c r="I32" s="27"/>
      <c r="J32" s="27"/>
    </row>
    <row r="33" spans="2:14" x14ac:dyDescent="0.3">
      <c r="B33" s="38"/>
      <c r="C33" s="39" t="s">
        <v>46</v>
      </c>
      <c r="D33" s="40">
        <f>D32/3.6</f>
        <v>11.555555555555555</v>
      </c>
      <c r="E33" s="33" t="s">
        <v>0</v>
      </c>
      <c r="G33" s="27"/>
      <c r="H33" s="27"/>
      <c r="I33" s="27"/>
      <c r="J33" s="27"/>
    </row>
    <row r="34" spans="2:14" x14ac:dyDescent="0.3">
      <c r="B34" s="38"/>
      <c r="C34" s="41" t="s">
        <v>45</v>
      </c>
      <c r="D34" s="42">
        <v>0</v>
      </c>
      <c r="E34" s="33" t="s">
        <v>4</v>
      </c>
      <c r="G34" s="27"/>
      <c r="H34" s="27"/>
      <c r="I34" s="27"/>
      <c r="J34" s="27"/>
    </row>
    <row r="35" spans="2:14" ht="15.75" customHeight="1" thickBot="1" x14ac:dyDescent="0.35">
      <c r="B35" s="38"/>
      <c r="C35" s="43" t="s">
        <v>17</v>
      </c>
      <c r="D35" s="44">
        <f>D34/3.6</f>
        <v>0</v>
      </c>
      <c r="E35" s="33" t="s">
        <v>0</v>
      </c>
      <c r="G35" s="27"/>
      <c r="H35" s="27"/>
      <c r="I35" s="27"/>
      <c r="J35" s="27"/>
    </row>
    <row r="36" spans="2:14" ht="15.75" customHeight="1" x14ac:dyDescent="0.3">
      <c r="F36" s="27"/>
      <c r="G36" s="27"/>
    </row>
    <row r="37" spans="2:14" ht="15.75" customHeight="1" x14ac:dyDescent="0.3">
      <c r="C37" s="116" t="s">
        <v>16</v>
      </c>
      <c r="D37" s="117"/>
      <c r="E37" s="118"/>
      <c r="F37" s="27"/>
      <c r="G37" s="27"/>
      <c r="H37" s="27"/>
      <c r="I37" s="45"/>
    </row>
    <row r="38" spans="2:14" ht="15.75" customHeight="1" x14ac:dyDescent="0.3">
      <c r="C38" s="46"/>
      <c r="E38" s="47"/>
      <c r="F38" s="27"/>
      <c r="G38" s="27"/>
      <c r="H38" s="27"/>
    </row>
    <row r="39" spans="2:14" ht="15.75" customHeight="1" x14ac:dyDescent="0.3">
      <c r="C39" s="48" t="s">
        <v>52</v>
      </c>
      <c r="D39" s="49">
        <f>D28-D41</f>
        <v>212.10210421576051</v>
      </c>
      <c r="E39" s="50" t="s">
        <v>3</v>
      </c>
      <c r="F39" s="51"/>
      <c r="G39" s="51"/>
      <c r="H39" s="51"/>
      <c r="I39" s="52"/>
      <c r="J39" s="52"/>
      <c r="K39" s="52"/>
      <c r="L39" s="52"/>
      <c r="M39" s="52"/>
      <c r="N39" s="52"/>
    </row>
    <row r="40" spans="2:14" ht="15.75" customHeight="1" x14ac:dyDescent="0.3">
      <c r="C40" s="53" t="s">
        <v>53</v>
      </c>
      <c r="D40" s="49">
        <v>0</v>
      </c>
      <c r="E40" s="50" t="s">
        <v>3</v>
      </c>
      <c r="F40" s="51"/>
      <c r="G40" s="51"/>
      <c r="H40" s="51"/>
      <c r="I40" s="52"/>
      <c r="J40" s="52"/>
      <c r="K40" s="52"/>
      <c r="L40" s="52"/>
      <c r="M40" s="52"/>
      <c r="N40" s="52"/>
    </row>
    <row r="41" spans="2:14" ht="15.75" customHeight="1" x14ac:dyDescent="0.3">
      <c r="C41" s="54" t="s">
        <v>54</v>
      </c>
      <c r="D41" s="49">
        <f>D27*((D30+D31)*9.81)*(D32/3.6)</f>
        <v>37.897895784239502</v>
      </c>
      <c r="E41" s="50" t="s">
        <v>3</v>
      </c>
      <c r="F41" s="51"/>
      <c r="G41" s="51"/>
      <c r="H41" s="51"/>
      <c r="I41" s="52"/>
      <c r="J41" s="52"/>
      <c r="K41" s="52"/>
      <c r="L41" s="52"/>
      <c r="M41" s="52"/>
      <c r="N41" s="52"/>
    </row>
    <row r="42" spans="2:14" ht="15.75" customHeight="1" x14ac:dyDescent="0.3">
      <c r="C42" s="55" t="s">
        <v>20</v>
      </c>
      <c r="D42" s="49">
        <f>D41+D39</f>
        <v>250</v>
      </c>
      <c r="E42" s="50" t="s">
        <v>3</v>
      </c>
      <c r="F42" s="52"/>
      <c r="G42" s="51"/>
      <c r="H42" s="51"/>
      <c r="I42" s="52"/>
      <c r="J42" s="52"/>
      <c r="K42" s="52"/>
      <c r="L42" s="52"/>
      <c r="M42" s="52"/>
      <c r="N42" s="52"/>
    </row>
    <row r="43" spans="2:14" ht="15.75" customHeight="1" x14ac:dyDescent="0.3">
      <c r="C43" s="56"/>
      <c r="D43" s="57"/>
      <c r="E43" s="58"/>
      <c r="F43" s="51"/>
      <c r="G43" s="51"/>
      <c r="H43" s="51"/>
      <c r="I43" s="51"/>
      <c r="J43" s="51"/>
      <c r="K43" s="52"/>
      <c r="L43" s="52"/>
      <c r="M43" s="52"/>
      <c r="N43" s="52"/>
    </row>
    <row r="44" spans="2:14" ht="15.75" customHeight="1" x14ac:dyDescent="0.3">
      <c r="C44" s="54"/>
      <c r="D44" s="59">
        <f>D47-D46</f>
        <v>18.354989787902348</v>
      </c>
      <c r="E44" s="50" t="s">
        <v>19</v>
      </c>
      <c r="F44" s="51"/>
      <c r="G44" s="51"/>
      <c r="H44" s="51"/>
      <c r="I44" s="51"/>
      <c r="J44" s="51"/>
      <c r="K44" s="52"/>
      <c r="L44" s="52"/>
      <c r="M44" s="52"/>
      <c r="N44" s="52"/>
    </row>
    <row r="45" spans="2:14" ht="15.75" customHeight="1" x14ac:dyDescent="0.3">
      <c r="C45" s="54"/>
      <c r="D45" s="59">
        <v>0</v>
      </c>
      <c r="E45" s="50" t="s">
        <v>19</v>
      </c>
      <c r="F45" s="51"/>
      <c r="G45" s="51"/>
      <c r="H45" s="51"/>
      <c r="I45" s="51"/>
      <c r="J45" s="51"/>
      <c r="K45" s="52"/>
      <c r="L45" s="52"/>
      <c r="M45" s="52"/>
      <c r="N45" s="52"/>
    </row>
    <row r="46" spans="2:14" ht="15.75" customHeight="1" x14ac:dyDescent="0.3">
      <c r="C46" s="54"/>
      <c r="D46" s="59">
        <f>D27*((D30+D31)*9.81)</f>
        <v>3.2796255967130339</v>
      </c>
      <c r="E46" s="50" t="s">
        <v>19</v>
      </c>
      <c r="F46" s="51"/>
      <c r="G46" s="51"/>
      <c r="H46" s="51"/>
      <c r="I46" s="51"/>
      <c r="J46" s="51"/>
      <c r="K46" s="52"/>
      <c r="L46" s="52"/>
      <c r="M46" s="52"/>
      <c r="N46" s="52"/>
    </row>
    <row r="47" spans="2:14" ht="15.75" customHeight="1" x14ac:dyDescent="0.3">
      <c r="C47" s="54"/>
      <c r="D47" s="59">
        <f>D42/D33</f>
        <v>21.634615384615383</v>
      </c>
      <c r="E47" s="50" t="s">
        <v>19</v>
      </c>
      <c r="F47" s="51"/>
      <c r="G47" s="51"/>
      <c r="H47" s="51"/>
      <c r="I47" s="51"/>
      <c r="J47" s="51"/>
      <c r="K47" s="52"/>
      <c r="L47" s="52"/>
      <c r="M47" s="52"/>
      <c r="N47" s="52"/>
    </row>
    <row r="48" spans="2:14" ht="15.75" customHeight="1" x14ac:dyDescent="0.3">
      <c r="C48" s="46"/>
      <c r="E48" s="47"/>
      <c r="F48" s="51"/>
      <c r="G48" s="52"/>
      <c r="H48" s="51"/>
      <c r="I48" s="51"/>
      <c r="J48" s="52"/>
      <c r="K48" s="52"/>
      <c r="L48" s="52"/>
      <c r="M48" s="52"/>
      <c r="N48" s="52"/>
    </row>
    <row r="49" spans="1:14" ht="15.75" customHeight="1" x14ac:dyDescent="0.3">
      <c r="A49" s="24"/>
      <c r="B49" s="24"/>
      <c r="C49" s="60" t="s">
        <v>23</v>
      </c>
      <c r="D49" s="61">
        <f>D44/(0.5*D14*POWER(D35+D33,2))</f>
        <v>0.23025275683658383</v>
      </c>
      <c r="E49" s="50"/>
      <c r="F49" s="52"/>
      <c r="G49" s="52"/>
      <c r="H49" s="51"/>
      <c r="I49" s="51"/>
      <c r="J49" s="52"/>
      <c r="K49" s="52"/>
      <c r="L49" s="52"/>
      <c r="M49" s="52"/>
      <c r="N49" s="52"/>
    </row>
    <row r="50" spans="1:14" ht="15.75" customHeight="1" x14ac:dyDescent="0.3">
      <c r="A50" s="24"/>
      <c r="B50" s="24"/>
      <c r="C50" s="60" t="s">
        <v>21</v>
      </c>
      <c r="D50" s="62"/>
      <c r="E50" s="50" t="s">
        <v>22</v>
      </c>
      <c r="F50" s="52"/>
      <c r="G50" s="52"/>
      <c r="H50" s="51"/>
      <c r="I50" s="51"/>
      <c r="J50" s="52"/>
      <c r="K50" s="52"/>
      <c r="L50" s="52"/>
      <c r="M50" s="52"/>
      <c r="N50" s="52"/>
    </row>
    <row r="51" spans="1:14" ht="15.75" customHeight="1" x14ac:dyDescent="0.3">
      <c r="A51" s="24"/>
      <c r="B51" s="24"/>
      <c r="C51" s="63" t="s">
        <v>24</v>
      </c>
      <c r="D51" s="64" t="e">
        <f>D49/D50</f>
        <v>#DIV/0!</v>
      </c>
      <c r="E51" s="65"/>
      <c r="F51" s="52"/>
      <c r="G51" s="52"/>
      <c r="H51" s="51"/>
      <c r="I51" s="51"/>
      <c r="J51" s="52"/>
      <c r="K51" s="52"/>
      <c r="L51" s="52"/>
      <c r="M51" s="52"/>
      <c r="N51" s="52"/>
    </row>
    <row r="52" spans="1:14" ht="15.75" customHeight="1" x14ac:dyDescent="0.3">
      <c r="C52" s="112" t="s">
        <v>47</v>
      </c>
      <c r="D52" s="112"/>
      <c r="E52" s="112"/>
    </row>
    <row r="53" spans="1:14" ht="28.95" customHeight="1" x14ac:dyDescent="0.3">
      <c r="C53" s="111" t="s">
        <v>25</v>
      </c>
      <c r="D53" s="111"/>
      <c r="E53" s="111"/>
    </row>
    <row r="54" spans="1:14" ht="15.75" customHeight="1" x14ac:dyDescent="0.3">
      <c r="C54" s="66"/>
      <c r="D54" s="67"/>
    </row>
    <row r="55" spans="1:14" x14ac:dyDescent="0.3"/>
    <row r="56" spans="1:14" x14ac:dyDescent="0.3"/>
    <row r="57" spans="1:14" x14ac:dyDescent="0.3"/>
    <row r="58" spans="1:14" x14ac:dyDescent="0.3"/>
    <row r="59" spans="1:14" x14ac:dyDescent="0.3"/>
    <row r="60" spans="1:14" x14ac:dyDescent="0.3"/>
    <row r="61" spans="1:14" x14ac:dyDescent="0.3"/>
    <row r="62" spans="1:14" x14ac:dyDescent="0.3"/>
  </sheetData>
  <protectedRanges>
    <protectedRange sqref="D50 D26 D28:D32 D34 D8:D13" name="Plage1"/>
  </protectedRanges>
  <mergeCells count="16">
    <mergeCell ref="C53:E53"/>
    <mergeCell ref="C52:E52"/>
    <mergeCell ref="C25:D25"/>
    <mergeCell ref="A4:E4"/>
    <mergeCell ref="C37:E37"/>
    <mergeCell ref="A2:D2"/>
    <mergeCell ref="A3:F3"/>
    <mergeCell ref="A1:F1"/>
    <mergeCell ref="G5:I5"/>
    <mergeCell ref="G24:I24"/>
    <mergeCell ref="G23:I23"/>
    <mergeCell ref="G22:I22"/>
    <mergeCell ref="G21:I21"/>
    <mergeCell ref="G13:I13"/>
    <mergeCell ref="G8:I8"/>
    <mergeCell ref="G6:I6"/>
  </mergeCells>
  <conditionalFormatting sqref="D12:D13">
    <cfRule type="containsBlanks" dxfId="0" priority="1">
      <formula>LEN(TRIM(D12))=0</formula>
    </cfRule>
  </conditionalFormatting>
  <conditionalFormatting sqref="D14">
    <cfRule type="colorScale" priority="2">
      <colorScale>
        <cfvo type="num" val="1.06"/>
        <cfvo type="percent" val="50"/>
        <cfvo type="num" val="1.25"/>
        <color rgb="FF00E668"/>
        <color rgb="FFFFEB84"/>
        <color rgb="FFFF0000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>&amp;L&amp;"Arial,Gras"&amp;10&amp;D&amp;C&amp;"Arial,Gras"&amp;10Mesure aérodynamique&amp;R&amp;G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Reg.lin Données</vt:lpstr>
      <vt:lpstr>Reg.lin Interprétation</vt:lpstr>
      <vt:lpstr>Route</vt:lpstr>
      <vt:lpstr>'Reg.lin Données'!Zone_d_impression</vt:lpstr>
      <vt:lpstr>'Reg.lin Interprétation'!Zone_d_impression</vt:lpstr>
      <vt:lpstr>Route!Zone_d_impression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</dc:creator>
  <cp:lastModifiedBy>Alban RND</cp:lastModifiedBy>
  <cp:lastPrinted>2018-08-30T13:00:21Z</cp:lastPrinted>
  <dcterms:created xsi:type="dcterms:W3CDTF">2014-07-14T13:03:25Z</dcterms:created>
  <dcterms:modified xsi:type="dcterms:W3CDTF">2025-07-24T13:07:36Z</dcterms:modified>
  <cp:contentStatus/>
</cp:coreProperties>
</file>